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0" windowWidth="22995" windowHeight="10035" tabRatio="718"/>
  </bookViews>
  <sheets>
    <sheet name="COVER" sheetId="19" r:id="rId1"/>
    <sheet name="Inputs" sheetId="21" r:id="rId2"/>
    <sheet name="Calculations" sheetId="22" r:id="rId3"/>
    <sheet name="Tariffs" sheetId="23" r:id="rId4"/>
    <sheet name="Cash flow" sheetId="24" r:id="rId5"/>
  </sheets>
  <externalReferences>
    <externalReference r:id="rId6"/>
    <externalReference r:id="rId7"/>
  </externalReferences>
  <definedNames>
    <definedName name="Title_Model" localSheetId="0">COVER!$C$2</definedName>
    <definedName name="Title_Model">#REF!</definedName>
    <definedName name="Title_Project" localSheetId="0">COVER!$C$3</definedName>
    <definedName name="Title_Project">#REF!</definedName>
  </definedNames>
  <calcPr calcId="145621"/>
</workbook>
</file>

<file path=xl/calcChain.xml><?xml version="1.0" encoding="utf-8"?>
<calcChain xmlns="http://schemas.openxmlformats.org/spreadsheetml/2006/main">
  <c r="D3" i="24" l="1"/>
  <c r="E3" i="24" s="1"/>
  <c r="F3" i="24" s="1"/>
  <c r="G3" i="24" s="1"/>
  <c r="H3" i="24" s="1"/>
  <c r="I3" i="24" s="1"/>
  <c r="J3" i="24" s="1"/>
  <c r="K3" i="24" s="1"/>
  <c r="L3" i="24" s="1"/>
  <c r="M3" i="24" s="1"/>
  <c r="N3" i="24" s="1"/>
  <c r="A1" i="24"/>
  <c r="D38" i="23"/>
  <c r="E32" i="23"/>
  <c r="B31" i="23"/>
  <c r="Y15" i="23"/>
  <c r="Q15" i="23"/>
  <c r="AD12" i="23"/>
  <c r="AC12" i="23"/>
  <c r="AB12" i="23"/>
  <c r="AA12" i="23"/>
  <c r="Z12" i="23"/>
  <c r="Y12" i="23"/>
  <c r="X12" i="23"/>
  <c r="W12" i="23"/>
  <c r="V12" i="23"/>
  <c r="U12" i="23"/>
  <c r="T12" i="23"/>
  <c r="S12" i="23"/>
  <c r="R12" i="23"/>
  <c r="Q12" i="23"/>
  <c r="P12" i="23"/>
  <c r="O12" i="23"/>
  <c r="N12" i="23"/>
  <c r="M12" i="23"/>
  <c r="L12" i="23"/>
  <c r="K12" i="23"/>
  <c r="J12" i="23"/>
  <c r="I12" i="23"/>
  <c r="H12" i="23"/>
  <c r="G12" i="23"/>
  <c r="F12" i="23"/>
  <c r="E12" i="23"/>
  <c r="D12" i="23"/>
  <c r="D13" i="23" s="1"/>
  <c r="T7" i="23"/>
  <c r="L7" i="23"/>
  <c r="F7" i="23"/>
  <c r="D3" i="23"/>
  <c r="A1" i="23"/>
  <c r="D57" i="22"/>
  <c r="E57" i="22" s="1"/>
  <c r="F57" i="22" s="1"/>
  <c r="G57" i="22" s="1"/>
  <c r="H57" i="22" s="1"/>
  <c r="I57" i="22" s="1"/>
  <c r="J57" i="22" s="1"/>
  <c r="A46" i="22"/>
  <c r="A45" i="22"/>
  <c r="A44" i="22"/>
  <c r="A43" i="22"/>
  <c r="A42" i="22"/>
  <c r="A41" i="22"/>
  <c r="A40" i="22"/>
  <c r="D35" i="22"/>
  <c r="A35" i="22"/>
  <c r="A34" i="22"/>
  <c r="D33" i="22"/>
  <c r="A33" i="22"/>
  <c r="D32" i="22"/>
  <c r="A32" i="22"/>
  <c r="D31" i="22"/>
  <c r="A31" i="22"/>
  <c r="D30" i="22"/>
  <c r="A30" i="22"/>
  <c r="D29" i="22"/>
  <c r="A29" i="22"/>
  <c r="AD25" i="22"/>
  <c r="AB25" i="22"/>
  <c r="X25" i="22"/>
  <c r="V25" i="22"/>
  <c r="T25" i="22"/>
  <c r="N25" i="22"/>
  <c r="L25" i="22"/>
  <c r="H25" i="22"/>
  <c r="F25" i="22"/>
  <c r="D25" i="22"/>
  <c r="AD24" i="22"/>
  <c r="AC24" i="22"/>
  <c r="AB24" i="22"/>
  <c r="AA24" i="22"/>
  <c r="Z24" i="22"/>
  <c r="Y24" i="22"/>
  <c r="X24" i="22"/>
  <c r="W24" i="22"/>
  <c r="V24" i="22"/>
  <c r="U24" i="22"/>
  <c r="T24" i="22"/>
  <c r="S24" i="22"/>
  <c r="R24" i="22"/>
  <c r="Q24" i="22"/>
  <c r="P24" i="22"/>
  <c r="O24" i="22"/>
  <c r="N24" i="22"/>
  <c r="M24" i="22"/>
  <c r="L24" i="22"/>
  <c r="K24" i="22"/>
  <c r="J24" i="22"/>
  <c r="I24" i="22"/>
  <c r="H24" i="22"/>
  <c r="G24" i="22"/>
  <c r="F24" i="22"/>
  <c r="E24" i="22"/>
  <c r="D24" i="22"/>
  <c r="A24" i="22"/>
  <c r="AD23" i="22"/>
  <c r="AC23" i="22"/>
  <c r="AB23" i="22"/>
  <c r="AA23" i="22"/>
  <c r="Z23" i="22"/>
  <c r="Y23" i="22"/>
  <c r="X23" i="22"/>
  <c r="W23" i="22"/>
  <c r="V23" i="22"/>
  <c r="U23" i="22"/>
  <c r="T23" i="22"/>
  <c r="S23" i="22"/>
  <c r="R23" i="22"/>
  <c r="Q23" i="22"/>
  <c r="P23" i="22"/>
  <c r="O23" i="22"/>
  <c r="N23" i="22"/>
  <c r="M23" i="22"/>
  <c r="L23" i="22"/>
  <c r="K23" i="22"/>
  <c r="J23" i="22"/>
  <c r="I23" i="22"/>
  <c r="H23" i="22"/>
  <c r="G23" i="22"/>
  <c r="F23" i="22"/>
  <c r="E23" i="22"/>
  <c r="D23" i="22"/>
  <c r="A23" i="22"/>
  <c r="AD22" i="22"/>
  <c r="AC22" i="22"/>
  <c r="AB22" i="22"/>
  <c r="AA22" i="22"/>
  <c r="Z22" i="22"/>
  <c r="Y22" i="22"/>
  <c r="X22" i="22"/>
  <c r="W22" i="22"/>
  <c r="V22" i="22"/>
  <c r="U22" i="22"/>
  <c r="T22" i="22"/>
  <c r="S22" i="22"/>
  <c r="R22" i="22"/>
  <c r="Q22" i="22"/>
  <c r="P22" i="22"/>
  <c r="O22" i="22"/>
  <c r="N22" i="22"/>
  <c r="M22" i="22"/>
  <c r="L22" i="22"/>
  <c r="K22" i="22"/>
  <c r="J22" i="22"/>
  <c r="I22" i="22"/>
  <c r="H22" i="22"/>
  <c r="G22" i="22"/>
  <c r="F22" i="22"/>
  <c r="E22" i="22"/>
  <c r="D22" i="22"/>
  <c r="A22"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A21" i="22"/>
  <c r="AD20" i="22"/>
  <c r="AC20" i="22"/>
  <c r="AB20" i="22"/>
  <c r="AA20" i="22"/>
  <c r="Z20" i="22"/>
  <c r="Y20" i="22"/>
  <c r="X20" i="22"/>
  <c r="W20" i="22"/>
  <c r="V20" i="22"/>
  <c r="U20" i="22"/>
  <c r="T20" i="22"/>
  <c r="S20" i="22"/>
  <c r="R20" i="22"/>
  <c r="Q20" i="22"/>
  <c r="P20" i="22"/>
  <c r="O20" i="22"/>
  <c r="N20" i="22"/>
  <c r="M20" i="22"/>
  <c r="L20" i="22"/>
  <c r="K20" i="22"/>
  <c r="J20" i="22"/>
  <c r="I20" i="22"/>
  <c r="H20" i="22"/>
  <c r="G20" i="22"/>
  <c r="F20" i="22"/>
  <c r="E20" i="22"/>
  <c r="D20" i="22"/>
  <c r="A20" i="22"/>
  <c r="AD19" i="22"/>
  <c r="AC19" i="22"/>
  <c r="AB19" i="22"/>
  <c r="AA19" i="22"/>
  <c r="Z19" i="22"/>
  <c r="Y19" i="22"/>
  <c r="X19" i="22"/>
  <c r="W19" i="22"/>
  <c r="V19" i="22"/>
  <c r="U19" i="22"/>
  <c r="T19" i="22"/>
  <c r="S19" i="22"/>
  <c r="R19" i="22"/>
  <c r="Q19" i="22"/>
  <c r="P19" i="22"/>
  <c r="O19" i="22"/>
  <c r="N19" i="22"/>
  <c r="M19" i="22"/>
  <c r="L19" i="22"/>
  <c r="K19" i="22"/>
  <c r="J19" i="22"/>
  <c r="I19" i="22"/>
  <c r="H19" i="22"/>
  <c r="G19" i="22"/>
  <c r="F19" i="22"/>
  <c r="E19" i="22"/>
  <c r="D19" i="22"/>
  <c r="A19" i="22"/>
  <c r="AD18" i="22"/>
  <c r="AC18" i="22"/>
  <c r="AC25" i="22" s="1"/>
  <c r="AB18" i="22"/>
  <c r="AA18" i="22"/>
  <c r="AA25" i="22" s="1"/>
  <c r="Z18" i="22"/>
  <c r="Z25" i="22" s="1"/>
  <c r="Y18" i="22"/>
  <c r="Y25" i="22" s="1"/>
  <c r="X18" i="22"/>
  <c r="W18" i="22"/>
  <c r="W25" i="22" s="1"/>
  <c r="V18" i="22"/>
  <c r="U18" i="22"/>
  <c r="U25" i="22" s="1"/>
  <c r="T18" i="22"/>
  <c r="S18" i="22"/>
  <c r="S25" i="22" s="1"/>
  <c r="R18" i="22"/>
  <c r="R25" i="22" s="1"/>
  <c r="Q18" i="22"/>
  <c r="Q25" i="22" s="1"/>
  <c r="P18" i="22"/>
  <c r="P25" i="22" s="1"/>
  <c r="O18" i="22"/>
  <c r="O25" i="22" s="1"/>
  <c r="N18" i="22"/>
  <c r="M18" i="22"/>
  <c r="M25" i="22" s="1"/>
  <c r="L18" i="22"/>
  <c r="K18" i="22"/>
  <c r="K25" i="22" s="1"/>
  <c r="J18" i="22"/>
  <c r="J25" i="22" s="1"/>
  <c r="I18" i="22"/>
  <c r="I25" i="22" s="1"/>
  <c r="H18" i="22"/>
  <c r="G18" i="22"/>
  <c r="G25" i="22" s="1"/>
  <c r="F18" i="22"/>
  <c r="E18" i="22"/>
  <c r="E25" i="22" s="1"/>
  <c r="D18" i="22"/>
  <c r="A18" i="22"/>
  <c r="D14" i="22"/>
  <c r="A13" i="22"/>
  <c r="A12" i="22"/>
  <c r="A11" i="22"/>
  <c r="A10" i="22"/>
  <c r="A9" i="22"/>
  <c r="A8" i="22"/>
  <c r="A7" i="22"/>
  <c r="E3" i="22"/>
  <c r="D3" i="22"/>
  <c r="D51" i="22" s="1"/>
  <c r="D9" i="23" s="1"/>
  <c r="A1" i="22"/>
  <c r="E83" i="21"/>
  <c r="D78" i="21"/>
  <c r="D75" i="21"/>
  <c r="D79" i="21" s="1"/>
  <c r="AD67" i="21"/>
  <c r="AD15" i="23" s="1"/>
  <c r="AC67" i="21"/>
  <c r="AC15" i="23" s="1"/>
  <c r="AB67" i="21"/>
  <c r="AB15" i="23" s="1"/>
  <c r="AA67" i="21"/>
  <c r="AA15" i="23" s="1"/>
  <c r="Z67" i="21"/>
  <c r="Z15" i="23" s="1"/>
  <c r="Y67" i="21"/>
  <c r="X67" i="21"/>
  <c r="X15" i="23" s="1"/>
  <c r="W67" i="21"/>
  <c r="W15" i="23" s="1"/>
  <c r="V67" i="21"/>
  <c r="V15" i="23" s="1"/>
  <c r="U67" i="21"/>
  <c r="U15" i="23" s="1"/>
  <c r="T67" i="21"/>
  <c r="T15" i="23" s="1"/>
  <c r="S67" i="21"/>
  <c r="S15" i="23" s="1"/>
  <c r="R67" i="21"/>
  <c r="R15" i="23" s="1"/>
  <c r="Q67" i="21"/>
  <c r="P67" i="21"/>
  <c r="P15" i="23" s="1"/>
  <c r="O67" i="21"/>
  <c r="O15" i="23" s="1"/>
  <c r="N67" i="21"/>
  <c r="N15" i="23" s="1"/>
  <c r="M67" i="21"/>
  <c r="M15" i="23" s="1"/>
  <c r="L67" i="21"/>
  <c r="L15" i="23" s="1"/>
  <c r="K67" i="21"/>
  <c r="K15" i="23" s="1"/>
  <c r="J67" i="21"/>
  <c r="J15" i="23" s="1"/>
  <c r="I67" i="21"/>
  <c r="I15" i="23" s="1"/>
  <c r="H67" i="21"/>
  <c r="H15" i="23" s="1"/>
  <c r="G67" i="21"/>
  <c r="G15" i="23" s="1"/>
  <c r="F67" i="21"/>
  <c r="F15" i="23" s="1"/>
  <c r="E67" i="21"/>
  <c r="E15" i="23" s="1"/>
  <c r="E8" i="24" s="1"/>
  <c r="D67" i="21"/>
  <c r="D15" i="23" s="1"/>
  <c r="D8" i="24" s="1"/>
  <c r="A52" i="21"/>
  <c r="A51" i="21"/>
  <c r="A50" i="21"/>
  <c r="A49" i="21"/>
  <c r="A48" i="21"/>
  <c r="A47" i="21"/>
  <c r="A46" i="21"/>
  <c r="AD42"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E15" i="24" s="1"/>
  <c r="E16" i="24" s="1"/>
  <c r="D42" i="21"/>
  <c r="D15" i="24" s="1"/>
  <c r="D16" i="24" s="1"/>
  <c r="AD31" i="21"/>
  <c r="AD7" i="23" s="1"/>
  <c r="AC31" i="21"/>
  <c r="AC7" i="23" s="1"/>
  <c r="AB31" i="21"/>
  <c r="AB7" i="23" s="1"/>
  <c r="AA31" i="21"/>
  <c r="AA7" i="23" s="1"/>
  <c r="Z31" i="21"/>
  <c r="Z7" i="23" s="1"/>
  <c r="Y31" i="21"/>
  <c r="Y7" i="23" s="1"/>
  <c r="X31" i="21"/>
  <c r="X7" i="23" s="1"/>
  <c r="W31" i="21"/>
  <c r="W7" i="23" s="1"/>
  <c r="V31" i="21"/>
  <c r="V7" i="23" s="1"/>
  <c r="U31" i="21"/>
  <c r="U7" i="23" s="1"/>
  <c r="T31" i="21"/>
  <c r="S31" i="21"/>
  <c r="S7" i="23" s="1"/>
  <c r="R31" i="21"/>
  <c r="R7" i="23" s="1"/>
  <c r="Q31" i="21"/>
  <c r="Q7" i="23" s="1"/>
  <c r="P31" i="21"/>
  <c r="P7" i="23" s="1"/>
  <c r="O31" i="21"/>
  <c r="O7" i="23" s="1"/>
  <c r="N31" i="21"/>
  <c r="N7" i="23" s="1"/>
  <c r="M31" i="21"/>
  <c r="M7" i="23" s="1"/>
  <c r="L31" i="21"/>
  <c r="K31" i="21"/>
  <c r="K7" i="23" s="1"/>
  <c r="J31" i="21"/>
  <c r="J7" i="23" s="1"/>
  <c r="I31" i="21"/>
  <c r="I7" i="23" s="1"/>
  <c r="H31" i="21"/>
  <c r="H7" i="23" s="1"/>
  <c r="G31" i="21"/>
  <c r="G7" i="23" s="1"/>
  <c r="F31" i="21"/>
  <c r="E31" i="21"/>
  <c r="E7" i="23" s="1"/>
  <c r="D31" i="21"/>
  <c r="D7" i="23" s="1"/>
  <c r="E20" i="21"/>
  <c r="E21" i="23" s="1"/>
  <c r="D20" i="21"/>
  <c r="D21" i="23" s="1"/>
  <c r="I14" i="21"/>
  <c r="J14" i="21" s="1"/>
  <c r="K14" i="21" s="1"/>
  <c r="L14" i="21" s="1"/>
  <c r="M14" i="21" s="1"/>
  <c r="N14" i="21" s="1"/>
  <c r="O14" i="21" s="1"/>
  <c r="P14" i="21" s="1"/>
  <c r="Q14" i="21" s="1"/>
  <c r="R14" i="21" s="1"/>
  <c r="S14" i="21" s="1"/>
  <c r="T14" i="21" s="1"/>
  <c r="U14" i="21" s="1"/>
  <c r="V14" i="21" s="1"/>
  <c r="W14" i="21" s="1"/>
  <c r="X14" i="21" s="1"/>
  <c r="Y14" i="21" s="1"/>
  <c r="Z14" i="21" s="1"/>
  <c r="AA14" i="21" s="1"/>
  <c r="AB14" i="21" s="1"/>
  <c r="AC14" i="21" s="1"/>
  <c r="AD14" i="21" s="1"/>
  <c r="G14" i="21"/>
  <c r="H14" i="21" s="1"/>
  <c r="F14" i="21"/>
  <c r="F13" i="21"/>
  <c r="G13" i="21" s="1"/>
  <c r="G20" i="21" s="1"/>
  <c r="G21" i="23" s="1"/>
  <c r="E3" i="21"/>
  <c r="F3" i="21" s="1"/>
  <c r="G3" i="21" s="1"/>
  <c r="H3" i="21" s="1"/>
  <c r="I3" i="21" s="1"/>
  <c r="J3" i="21" s="1"/>
  <c r="K3" i="21" s="1"/>
  <c r="L3" i="21" s="1"/>
  <c r="M3" i="21" s="1"/>
  <c r="N3" i="21" s="1"/>
  <c r="O3" i="21" s="1"/>
  <c r="P3" i="21" s="1"/>
  <c r="Q3" i="21" s="1"/>
  <c r="R3" i="21" s="1"/>
  <c r="S3" i="21" s="1"/>
  <c r="T3" i="21" s="1"/>
  <c r="U3" i="21" s="1"/>
  <c r="V3" i="21" s="1"/>
  <c r="W3" i="21" s="1"/>
  <c r="X3" i="21" s="1"/>
  <c r="Y3" i="21" s="1"/>
  <c r="Z3" i="21" s="1"/>
  <c r="AA3" i="21" s="1"/>
  <c r="AB3" i="21" s="1"/>
  <c r="AC3" i="21" s="1"/>
  <c r="AD3" i="21" s="1"/>
  <c r="D3" i="21"/>
  <c r="A1" i="21"/>
  <c r="F83" i="21" l="1"/>
  <c r="G83" i="21" s="1"/>
  <c r="H83" i="21" s="1"/>
  <c r="I83" i="21" s="1"/>
  <c r="J83" i="21" s="1"/>
  <c r="K83" i="21" s="1"/>
  <c r="L83" i="21" s="1"/>
  <c r="M83" i="21" s="1"/>
  <c r="N83" i="21" s="1"/>
  <c r="O83" i="21" s="1"/>
  <c r="P83" i="21" s="1"/>
  <c r="Q83" i="21" s="1"/>
  <c r="R83" i="21" s="1"/>
  <c r="S83" i="21" s="1"/>
  <c r="T83" i="21" s="1"/>
  <c r="U83" i="21" s="1"/>
  <c r="V83" i="21" s="1"/>
  <c r="W83" i="21" s="1"/>
  <c r="X83" i="21" s="1"/>
  <c r="Y83" i="21" s="1"/>
  <c r="Z83" i="21" s="1"/>
  <c r="AA83" i="21" s="1"/>
  <c r="AB83" i="21" s="1"/>
  <c r="AC83" i="21" s="1"/>
  <c r="AD83" i="21" s="1"/>
  <c r="F32" i="23"/>
  <c r="F20" i="21"/>
  <c r="F21" i="23" s="1"/>
  <c r="D22" i="24"/>
  <c r="D20" i="24"/>
  <c r="H13" i="21"/>
  <c r="E9" i="24"/>
  <c r="F15" i="24"/>
  <c r="F16" i="24" s="1"/>
  <c r="E35" i="22"/>
  <c r="E34" i="22"/>
  <c r="F3" i="22"/>
  <c r="E30" i="22"/>
  <c r="D16" i="23"/>
  <c r="D20" i="23" s="1"/>
  <c r="D40" i="22"/>
  <c r="D41" i="22"/>
  <c r="E8" i="22" s="1"/>
  <c r="D42" i="22"/>
  <c r="E9" i="22" s="1"/>
  <c r="E31" i="22" s="1"/>
  <c r="D43" i="22"/>
  <c r="E10" i="22" s="1"/>
  <c r="D44" i="22"/>
  <c r="E11" i="22" s="1"/>
  <c r="D46" i="22"/>
  <c r="E13" i="22" s="1"/>
  <c r="D34" i="22"/>
  <c r="D45" i="22" s="1"/>
  <c r="E12" i="22" s="1"/>
  <c r="E45" i="22" s="1"/>
  <c r="F12" i="22" s="1"/>
  <c r="D23" i="23"/>
  <c r="E3" i="23"/>
  <c r="F9" i="24"/>
  <c r="D9" i="24"/>
  <c r="E22" i="24"/>
  <c r="E20" i="24"/>
  <c r="D36" i="22" l="1"/>
  <c r="D8" i="23" s="1"/>
  <c r="D10" i="23" s="1"/>
  <c r="E32" i="22"/>
  <c r="E43" i="22" s="1"/>
  <c r="F10" i="22" s="1"/>
  <c r="E33" i="22"/>
  <c r="E44" i="22" s="1"/>
  <c r="F11" i="22" s="1"/>
  <c r="F22" i="24"/>
  <c r="F20" i="24"/>
  <c r="I13" i="21"/>
  <c r="H20" i="21"/>
  <c r="H21" i="23" s="1"/>
  <c r="E21" i="24"/>
  <c r="G21" i="24"/>
  <c r="D23" i="24"/>
  <c r="E10" i="24"/>
  <c r="F21" i="24"/>
  <c r="G32" i="23"/>
  <c r="F8" i="24"/>
  <c r="D24" i="23"/>
  <c r="D25" i="23"/>
  <c r="D27" i="23" s="1"/>
  <c r="D31" i="23" s="1"/>
  <c r="D33" i="23" s="1"/>
  <c r="D39" i="23" s="1"/>
  <c r="D7" i="24" s="1"/>
  <c r="D11" i="24" s="1"/>
  <c r="D28" i="24" s="1"/>
  <c r="D29" i="24" s="1"/>
  <c r="D47" i="22"/>
  <c r="E7" i="22"/>
  <c r="E46" i="22"/>
  <c r="F13" i="22" s="1"/>
  <c r="E42" i="22"/>
  <c r="F9" i="22" s="1"/>
  <c r="F34" i="22"/>
  <c r="F45" i="22" s="1"/>
  <c r="G12" i="22" s="1"/>
  <c r="F35" i="22"/>
  <c r="G3" i="22"/>
  <c r="E23" i="23"/>
  <c r="F3" i="23"/>
  <c r="E41" i="22"/>
  <c r="F8" i="22" s="1"/>
  <c r="G45" i="22" l="1"/>
  <c r="H12" i="22" s="1"/>
  <c r="F32" i="22"/>
  <c r="F43" i="22" s="1"/>
  <c r="G10" i="22" s="1"/>
  <c r="F33" i="22"/>
  <c r="F44" i="22" s="1"/>
  <c r="G11" i="22" s="1"/>
  <c r="E14" i="22"/>
  <c r="E29" i="22"/>
  <c r="E36" i="22" s="1"/>
  <c r="E8" i="23" s="1"/>
  <c r="I20" i="21"/>
  <c r="I21" i="23" s="1"/>
  <c r="E25" i="23" s="1"/>
  <c r="J13" i="21"/>
  <c r="G35" i="22"/>
  <c r="G34" i="22"/>
  <c r="H3" i="22"/>
  <c r="H32" i="23"/>
  <c r="G15" i="24"/>
  <c r="G16" i="24" s="1"/>
  <c r="G9" i="24"/>
  <c r="G8" i="24"/>
  <c r="F23" i="24"/>
  <c r="F41" i="22"/>
  <c r="G8" i="22" s="1"/>
  <c r="F30" i="22"/>
  <c r="E27" i="24"/>
  <c r="D41" i="23"/>
  <c r="F10" i="24"/>
  <c r="G10" i="24"/>
  <c r="E23" i="24"/>
  <c r="F23" i="23"/>
  <c r="G3" i="23"/>
  <c r="F31" i="22"/>
  <c r="F42" i="22" s="1"/>
  <c r="G9" i="22" s="1"/>
  <c r="F46" i="22"/>
  <c r="G13" i="22" s="1"/>
  <c r="E40" i="22" l="1"/>
  <c r="E47" i="22" s="1"/>
  <c r="E51" i="22" s="1"/>
  <c r="E9" i="23" s="1"/>
  <c r="E10" i="23" s="1"/>
  <c r="E13" i="23" s="1"/>
  <c r="E16" i="23" s="1"/>
  <c r="E20" i="23" s="1"/>
  <c r="G33" i="22"/>
  <c r="G44" i="22" s="1"/>
  <c r="H11" i="22" s="1"/>
  <c r="G31" i="22"/>
  <c r="G42" i="22" s="1"/>
  <c r="H9" i="22" s="1"/>
  <c r="G32" i="22"/>
  <c r="G43" i="22" s="1"/>
  <c r="H10" i="22" s="1"/>
  <c r="F25" i="23"/>
  <c r="F27" i="23" s="1"/>
  <c r="F24" i="23"/>
  <c r="G20" i="24"/>
  <c r="G22" i="24"/>
  <c r="G46" i="22"/>
  <c r="H13" i="22" s="1"/>
  <c r="I32" i="23"/>
  <c r="H15" i="24"/>
  <c r="H16" i="24" s="1"/>
  <c r="H8" i="24"/>
  <c r="H9" i="24"/>
  <c r="G30" i="22"/>
  <c r="G41" i="22" s="1"/>
  <c r="H8" i="22" s="1"/>
  <c r="F7" i="22"/>
  <c r="G23" i="23"/>
  <c r="H3" i="23"/>
  <c r="H34" i="22"/>
  <c r="H45" i="22" s="1"/>
  <c r="I12" i="22" s="1"/>
  <c r="H35" i="22"/>
  <c r="I3" i="22"/>
  <c r="K13" i="21"/>
  <c r="J20" i="21"/>
  <c r="J21" i="23" s="1"/>
  <c r="H46" i="22" l="1"/>
  <c r="I13" i="22" s="1"/>
  <c r="H33" i="22"/>
  <c r="H44" i="22" s="1"/>
  <c r="I11" i="22" s="1"/>
  <c r="I33" i="22" s="1"/>
  <c r="H32" i="22"/>
  <c r="H43" i="22" s="1"/>
  <c r="I10" i="22" s="1"/>
  <c r="H30" i="22"/>
  <c r="H41" i="22" s="1"/>
  <c r="I8" i="22" s="1"/>
  <c r="H31" i="22"/>
  <c r="H42" i="22" s="1"/>
  <c r="I9" i="22" s="1"/>
  <c r="G25" i="23"/>
  <c r="G27" i="23" s="1"/>
  <c r="G24" i="23"/>
  <c r="H23" i="23"/>
  <c r="I3" i="23"/>
  <c r="J32" i="23"/>
  <c r="I8" i="24"/>
  <c r="I9" i="24"/>
  <c r="I15" i="24"/>
  <c r="I16" i="24" s="1"/>
  <c r="K20" i="21"/>
  <c r="K21" i="23" s="1"/>
  <c r="L13" i="21"/>
  <c r="F14" i="22"/>
  <c r="F29" i="22"/>
  <c r="F36" i="22" s="1"/>
  <c r="F8" i="23" s="1"/>
  <c r="G23" i="24"/>
  <c r="H10" i="24"/>
  <c r="H21" i="24"/>
  <c r="I35" i="22"/>
  <c r="I46" i="22" s="1"/>
  <c r="J13" i="22" s="1"/>
  <c r="I34" i="22"/>
  <c r="I45" i="22" s="1"/>
  <c r="J12" i="22" s="1"/>
  <c r="J3" i="22"/>
  <c r="H22" i="24"/>
  <c r="H20" i="24"/>
  <c r="H23" i="24" l="1"/>
  <c r="I30" i="22"/>
  <c r="I41" i="22" s="1"/>
  <c r="J8" i="22" s="1"/>
  <c r="J30" i="22" s="1"/>
  <c r="I32" i="22"/>
  <c r="I43" i="22" s="1"/>
  <c r="J10" i="22" s="1"/>
  <c r="I31" i="22"/>
  <c r="I42" i="22" s="1"/>
  <c r="J9" i="22" s="1"/>
  <c r="K32" i="23"/>
  <c r="J8" i="24"/>
  <c r="J9" i="24"/>
  <c r="J15" i="24"/>
  <c r="J16" i="24" s="1"/>
  <c r="M13" i="21"/>
  <c r="L20" i="21"/>
  <c r="L21" i="23" s="1"/>
  <c r="I44" i="22"/>
  <c r="J11" i="22" s="1"/>
  <c r="J33" i="22" s="1"/>
  <c r="J35" i="22"/>
  <c r="J46" i="22" s="1"/>
  <c r="K13" i="22" s="1"/>
  <c r="J34" i="22"/>
  <c r="K3" i="22"/>
  <c r="J21" i="24"/>
  <c r="I21" i="24"/>
  <c r="J10" i="24" s="1"/>
  <c r="I10" i="24"/>
  <c r="I22" i="24"/>
  <c r="I20" i="24"/>
  <c r="I23" i="23"/>
  <c r="J3" i="23"/>
  <c r="J45" i="22"/>
  <c r="K12" i="22" s="1"/>
  <c r="F40" i="22"/>
  <c r="H24" i="23"/>
  <c r="H25" i="23"/>
  <c r="H27" i="23" s="1"/>
  <c r="J42" i="22" l="1"/>
  <c r="K9" i="22" s="1"/>
  <c r="K31" i="22" s="1"/>
  <c r="J31" i="22"/>
  <c r="J22" i="24"/>
  <c r="J20" i="24"/>
  <c r="J23" i="24" s="1"/>
  <c r="I23" i="24"/>
  <c r="K10" i="24"/>
  <c r="J44" i="22"/>
  <c r="K11" i="22" s="1"/>
  <c r="I25" i="23"/>
  <c r="I27" i="23" s="1"/>
  <c r="I24" i="23"/>
  <c r="K35" i="22"/>
  <c r="K46" i="22" s="1"/>
  <c r="L13" i="22" s="1"/>
  <c r="K34" i="22"/>
  <c r="K33" i="22"/>
  <c r="L3" i="22"/>
  <c r="G7" i="22"/>
  <c r="F47" i="22"/>
  <c r="F51" i="22" s="1"/>
  <c r="F9" i="23" s="1"/>
  <c r="F10" i="23" s="1"/>
  <c r="F13" i="23" s="1"/>
  <c r="F16" i="23" s="1"/>
  <c r="F20" i="23" s="1"/>
  <c r="K45" i="22"/>
  <c r="L12" i="22" s="1"/>
  <c r="K3" i="23"/>
  <c r="J23" i="23"/>
  <c r="J32" i="22"/>
  <c r="J43" i="22" s="1"/>
  <c r="K10" i="22" s="1"/>
  <c r="M20" i="21"/>
  <c r="M21" i="23" s="1"/>
  <c r="N13" i="21"/>
  <c r="L32" i="23"/>
  <c r="K9" i="24"/>
  <c r="K15" i="24"/>
  <c r="K16" i="24" s="1"/>
  <c r="K8" i="24"/>
  <c r="J41" i="22"/>
  <c r="K8" i="22" s="1"/>
  <c r="K32" i="22" l="1"/>
  <c r="K43" i="22" s="1"/>
  <c r="L10" i="22" s="1"/>
  <c r="L32" i="22" s="1"/>
  <c r="K20" i="24"/>
  <c r="K22" i="24"/>
  <c r="K23" i="23"/>
  <c r="L3" i="23"/>
  <c r="K21" i="24"/>
  <c r="L10" i="24" s="1"/>
  <c r="M32" i="23"/>
  <c r="L8" i="24"/>
  <c r="L15" i="24"/>
  <c r="L16" i="24" s="1"/>
  <c r="L9" i="24"/>
  <c r="G14" i="22"/>
  <c r="G29" i="22"/>
  <c r="G36" i="22" s="1"/>
  <c r="G8" i="23" s="1"/>
  <c r="K30" i="22"/>
  <c r="K41" i="22" s="1"/>
  <c r="L8" i="22" s="1"/>
  <c r="L21" i="24"/>
  <c r="O13" i="21"/>
  <c r="N20" i="21"/>
  <c r="N21" i="23" s="1"/>
  <c r="J25" i="23"/>
  <c r="L34" i="22"/>
  <c r="L45" i="22" s="1"/>
  <c r="M12" i="22" s="1"/>
  <c r="L35" i="22"/>
  <c r="L46" i="22" s="1"/>
  <c r="M13" i="22" s="1"/>
  <c r="L31" i="22"/>
  <c r="M3" i="22"/>
  <c r="K44" i="22"/>
  <c r="L11" i="22" s="1"/>
  <c r="K42" i="22"/>
  <c r="L9" i="22" s="1"/>
  <c r="L30" i="22" l="1"/>
  <c r="L41" i="22" s="1"/>
  <c r="M8" i="22" s="1"/>
  <c r="M35" i="22"/>
  <c r="M46" i="22" s="1"/>
  <c r="N13" i="22" s="1"/>
  <c r="M34" i="22"/>
  <c r="M45" i="22" s="1"/>
  <c r="N12" i="22" s="1"/>
  <c r="N3" i="22"/>
  <c r="O20" i="21"/>
  <c r="O21" i="23" s="1"/>
  <c r="P13" i="21"/>
  <c r="L22" i="24"/>
  <c r="L20" i="24"/>
  <c r="L42" i="22"/>
  <c r="M9" i="22" s="1"/>
  <c r="K23" i="24"/>
  <c r="G40" i="22"/>
  <c r="N32" i="23"/>
  <c r="M9" i="24"/>
  <c r="M15" i="24"/>
  <c r="M16" i="24" s="1"/>
  <c r="M8" i="24"/>
  <c r="L23" i="23"/>
  <c r="M3" i="23"/>
  <c r="L33" i="22"/>
  <c r="L44" i="22" s="1"/>
  <c r="M11" i="22" s="1"/>
  <c r="K25" i="23"/>
  <c r="K27" i="23" s="1"/>
  <c r="K24" i="23"/>
  <c r="L43" i="22"/>
  <c r="M10" i="22" s="1"/>
  <c r="M32" i="22" s="1"/>
  <c r="M33" i="22" l="1"/>
  <c r="M44" i="22" s="1"/>
  <c r="N11" i="22" s="1"/>
  <c r="N33" i="22" s="1"/>
  <c r="M30" i="22"/>
  <c r="M41" i="22" s="1"/>
  <c r="N8" i="22" s="1"/>
  <c r="M23" i="23"/>
  <c r="N3" i="23"/>
  <c r="O32" i="23"/>
  <c r="P32" i="23" s="1"/>
  <c r="Q32" i="23" s="1"/>
  <c r="R32" i="23" s="1"/>
  <c r="S32" i="23" s="1"/>
  <c r="T32" i="23" s="1"/>
  <c r="U32" i="23" s="1"/>
  <c r="V32" i="23" s="1"/>
  <c r="W32" i="23" s="1"/>
  <c r="X32" i="23" s="1"/>
  <c r="Y32" i="23" s="1"/>
  <c r="Z32" i="23" s="1"/>
  <c r="AA32" i="23" s="1"/>
  <c r="AB32" i="23" s="1"/>
  <c r="AC32" i="23" s="1"/>
  <c r="AD32" i="23" s="1"/>
  <c r="N9" i="24"/>
  <c r="N15" i="24"/>
  <c r="N16" i="24" s="1"/>
  <c r="N8" i="24"/>
  <c r="L23" i="24"/>
  <c r="M10" i="24"/>
  <c r="M21" i="24"/>
  <c r="N34" i="22"/>
  <c r="N45" i="22" s="1"/>
  <c r="O12" i="22" s="1"/>
  <c r="N35" i="22"/>
  <c r="O3" i="22"/>
  <c r="M43" i="22"/>
  <c r="N10" i="22" s="1"/>
  <c r="G47" i="22"/>
  <c r="G51" i="22" s="1"/>
  <c r="G9" i="23" s="1"/>
  <c r="G10" i="23" s="1"/>
  <c r="G13" i="23" s="1"/>
  <c r="G16" i="23" s="1"/>
  <c r="G20" i="23" s="1"/>
  <c r="H7" i="22"/>
  <c r="M22" i="24"/>
  <c r="M20" i="24"/>
  <c r="M31" i="22"/>
  <c r="M42" i="22" s="1"/>
  <c r="N9" i="22" s="1"/>
  <c r="L24" i="23"/>
  <c r="L25" i="23"/>
  <c r="L27" i="23" s="1"/>
  <c r="Q13" i="21"/>
  <c r="P20" i="21"/>
  <c r="P21" i="23" s="1"/>
  <c r="N46" i="22"/>
  <c r="O13" i="22" s="1"/>
  <c r="N31" i="22" l="1"/>
  <c r="N42" i="22" s="1"/>
  <c r="O9" i="22" s="1"/>
  <c r="N30" i="22"/>
  <c r="N41" i="22" s="1"/>
  <c r="O8" i="22" s="1"/>
  <c r="M23" i="24"/>
  <c r="N21" i="24"/>
  <c r="O35" i="22"/>
  <c r="O46" i="22" s="1"/>
  <c r="P13" i="22" s="1"/>
  <c r="O34" i="22"/>
  <c r="O45" i="22" s="1"/>
  <c r="P12" i="22" s="1"/>
  <c r="P3" i="22"/>
  <c r="Q20" i="21"/>
  <c r="Q21" i="23" s="1"/>
  <c r="R13" i="21"/>
  <c r="H14" i="22"/>
  <c r="H29" i="22"/>
  <c r="H36" i="22" s="1"/>
  <c r="H8" i="23" s="1"/>
  <c r="N10" i="24"/>
  <c r="N23" i="23"/>
  <c r="O3" i="23"/>
  <c r="N32" i="22"/>
  <c r="N43" i="22" s="1"/>
  <c r="O10" i="22" s="1"/>
  <c r="O32" i="22" s="1"/>
  <c r="N22" i="24"/>
  <c r="N20" i="24"/>
  <c r="M25" i="23"/>
  <c r="M27" i="23" s="1"/>
  <c r="M24" i="23"/>
  <c r="N44" i="22"/>
  <c r="O11" i="22" s="1"/>
  <c r="O33" i="22" s="1"/>
  <c r="N23" i="24" l="1"/>
  <c r="H40" i="22"/>
  <c r="H47" i="22" s="1"/>
  <c r="H51" i="22" s="1"/>
  <c r="H9" i="23" s="1"/>
  <c r="H10" i="23" s="1"/>
  <c r="H13" i="23" s="1"/>
  <c r="H16" i="23" s="1"/>
  <c r="H20" i="23" s="1"/>
  <c r="O30" i="22"/>
  <c r="O41" i="22" s="1"/>
  <c r="P8" i="22" s="1"/>
  <c r="O31" i="22"/>
  <c r="O42" i="22" s="1"/>
  <c r="P9" i="22" s="1"/>
  <c r="P31" i="22" s="1"/>
  <c r="N25" i="23"/>
  <c r="N27" i="23" s="1"/>
  <c r="N24" i="23"/>
  <c r="P34" i="22"/>
  <c r="P45" i="22" s="1"/>
  <c r="Q12" i="22" s="1"/>
  <c r="P35" i="22"/>
  <c r="P46" i="22" s="1"/>
  <c r="Q13" i="22" s="1"/>
  <c r="P32" i="22"/>
  <c r="Q3" i="22"/>
  <c r="O43" i="22"/>
  <c r="P10" i="22" s="1"/>
  <c r="S13" i="21"/>
  <c r="R20" i="21"/>
  <c r="R21" i="23" s="1"/>
  <c r="O44" i="22"/>
  <c r="P11" i="22" s="1"/>
  <c r="P33" i="22" s="1"/>
  <c r="O23" i="23"/>
  <c r="P3" i="23"/>
  <c r="I7" i="22" l="1"/>
  <c r="I14" i="22" s="1"/>
  <c r="P41" i="22"/>
  <c r="Q8" i="22" s="1"/>
  <c r="P30" i="22"/>
  <c r="Q35" i="22"/>
  <c r="Q46" i="22" s="1"/>
  <c r="R13" i="22" s="1"/>
  <c r="Q34" i="22"/>
  <c r="Q45" i="22" s="1"/>
  <c r="R12" i="22" s="1"/>
  <c r="R3" i="22"/>
  <c r="Q3" i="23"/>
  <c r="P23" i="23"/>
  <c r="P43" i="22"/>
  <c r="Q10" i="22" s="1"/>
  <c r="P44" i="22"/>
  <c r="Q11" i="22" s="1"/>
  <c r="Q33" i="22" s="1"/>
  <c r="S20" i="21"/>
  <c r="S21" i="23" s="1"/>
  <c r="O25" i="23" s="1"/>
  <c r="T13" i="21"/>
  <c r="I40" i="22"/>
  <c r="I29" i="22"/>
  <c r="I36" i="22" s="1"/>
  <c r="I8" i="23" s="1"/>
  <c r="P42" i="22"/>
  <c r="Q9" i="22" s="1"/>
  <c r="Q31" i="22" s="1"/>
  <c r="R46" i="22" l="1"/>
  <c r="S13" i="22" s="1"/>
  <c r="I47" i="22"/>
  <c r="I51" i="22" s="1"/>
  <c r="I9" i="23" s="1"/>
  <c r="I10" i="23" s="1"/>
  <c r="I13" i="23" s="1"/>
  <c r="I16" i="23" s="1"/>
  <c r="I20" i="23" s="1"/>
  <c r="E24" i="23" s="1"/>
  <c r="E27" i="23" s="1"/>
  <c r="E31" i="23" s="1"/>
  <c r="J7" i="22"/>
  <c r="Q23" i="23"/>
  <c r="R3" i="23"/>
  <c r="R35" i="22"/>
  <c r="R34" i="22"/>
  <c r="S3" i="22"/>
  <c r="Q30" i="22"/>
  <c r="Q41" i="22" s="1"/>
  <c r="R8" i="22" s="1"/>
  <c r="Q44" i="22"/>
  <c r="R11" i="22" s="1"/>
  <c r="P24" i="23"/>
  <c r="P25" i="23"/>
  <c r="P27" i="23" s="1"/>
  <c r="Q32" i="22"/>
  <c r="Q43" i="22" s="1"/>
  <c r="R10" i="22" s="1"/>
  <c r="Q42" i="22"/>
  <c r="R9" i="22" s="1"/>
  <c r="U13" i="21"/>
  <c r="T20" i="21"/>
  <c r="T21" i="23" s="1"/>
  <c r="R45" i="22"/>
  <c r="S12" i="22" s="1"/>
  <c r="R43" i="22" l="1"/>
  <c r="S10" i="22" s="1"/>
  <c r="S32" i="22" s="1"/>
  <c r="R32" i="22"/>
  <c r="E33" i="23"/>
  <c r="E39" i="23" s="1"/>
  <c r="E7" i="24" s="1"/>
  <c r="E11" i="24" s="1"/>
  <c r="E38" i="23"/>
  <c r="F31" i="23"/>
  <c r="R30" i="22"/>
  <c r="R41" i="22" s="1"/>
  <c r="S8" i="22" s="1"/>
  <c r="R44" i="22"/>
  <c r="S11" i="22" s="1"/>
  <c r="Q25" i="23"/>
  <c r="Q27" i="23" s="1"/>
  <c r="Q24" i="23"/>
  <c r="R31" i="22"/>
  <c r="R42" i="22" s="1"/>
  <c r="S9" i="22" s="1"/>
  <c r="J40" i="22"/>
  <c r="J14" i="22"/>
  <c r="J29" i="22"/>
  <c r="J36" i="22" s="1"/>
  <c r="J8" i="23" s="1"/>
  <c r="S35" i="22"/>
  <c r="S46" i="22" s="1"/>
  <c r="T13" i="22" s="1"/>
  <c r="S34" i="22"/>
  <c r="S45" i="22" s="1"/>
  <c r="T12" i="22" s="1"/>
  <c r="T3" i="22"/>
  <c r="R33" i="22"/>
  <c r="U20" i="21"/>
  <c r="U21" i="23" s="1"/>
  <c r="V13" i="21"/>
  <c r="R23" i="23"/>
  <c r="S3" i="23"/>
  <c r="S31" i="22" l="1"/>
  <c r="S42" i="22" s="1"/>
  <c r="T9" i="22" s="1"/>
  <c r="T31" i="22" s="1"/>
  <c r="R25" i="23"/>
  <c r="R27" i="23" s="1"/>
  <c r="R24" i="23"/>
  <c r="F38" i="23"/>
  <c r="F33" i="23"/>
  <c r="F39" i="23" s="1"/>
  <c r="F7" i="24" s="1"/>
  <c r="F11" i="24" s="1"/>
  <c r="G31" i="23"/>
  <c r="S33" i="22"/>
  <c r="S44" i="22" s="1"/>
  <c r="T11" i="22" s="1"/>
  <c r="T34" i="22"/>
  <c r="T45" i="22" s="1"/>
  <c r="U12" i="22" s="1"/>
  <c r="T35" i="22"/>
  <c r="T46" i="22" s="1"/>
  <c r="U13" i="22" s="1"/>
  <c r="T32" i="22"/>
  <c r="U3" i="22"/>
  <c r="K7" i="22"/>
  <c r="J47" i="22"/>
  <c r="J51" i="22" s="1"/>
  <c r="J9" i="23" s="1"/>
  <c r="J10" i="23" s="1"/>
  <c r="J13" i="23" s="1"/>
  <c r="J16" i="23" s="1"/>
  <c r="J20" i="23" s="1"/>
  <c r="W13" i="21"/>
  <c r="V20" i="21"/>
  <c r="V21" i="23" s="1"/>
  <c r="S23" i="23"/>
  <c r="T3" i="23"/>
  <c r="S30" i="22"/>
  <c r="S41" i="22" s="1"/>
  <c r="T8" i="22" s="1"/>
  <c r="E28" i="24"/>
  <c r="E29" i="24" s="1"/>
  <c r="E33" i="24"/>
  <c r="E42" i="23" s="1"/>
  <c r="S43" i="22"/>
  <c r="T10" i="22" s="1"/>
  <c r="T30" i="22" l="1"/>
  <c r="T41" i="22" s="1"/>
  <c r="U8" i="22" s="1"/>
  <c r="T33" i="22"/>
  <c r="T44" i="22" s="1"/>
  <c r="U11" i="22" s="1"/>
  <c r="E41" i="23"/>
  <c r="F27" i="24"/>
  <c r="S25" i="23"/>
  <c r="S27" i="23" s="1"/>
  <c r="S24" i="23"/>
  <c r="K14" i="22"/>
  <c r="K29" i="22"/>
  <c r="K36" i="22" s="1"/>
  <c r="K8" i="23" s="1"/>
  <c r="G38" i="23"/>
  <c r="G33" i="23"/>
  <c r="G39" i="23" s="1"/>
  <c r="G7" i="24" s="1"/>
  <c r="G11" i="24" s="1"/>
  <c r="H31" i="23"/>
  <c r="T23" i="23"/>
  <c r="U3" i="23"/>
  <c r="U35" i="22"/>
  <c r="U46" i="22" s="1"/>
  <c r="V13" i="22" s="1"/>
  <c r="U34" i="22"/>
  <c r="U45" i="22" s="1"/>
  <c r="V12" i="22" s="1"/>
  <c r="V3" i="22"/>
  <c r="F28" i="24"/>
  <c r="F33" i="24"/>
  <c r="F42" i="23" s="1"/>
  <c r="T42" i="22"/>
  <c r="U9" i="22" s="1"/>
  <c r="U31" i="22" s="1"/>
  <c r="T43" i="22"/>
  <c r="U10" i="22" s="1"/>
  <c r="W20" i="21"/>
  <c r="W21" i="23" s="1"/>
  <c r="X13" i="21"/>
  <c r="F29" i="24" l="1"/>
  <c r="G27" i="24" s="1"/>
  <c r="U30" i="22"/>
  <c r="U41" i="22" s="1"/>
  <c r="V8" i="22" s="1"/>
  <c r="U33" i="22"/>
  <c r="U44" i="22" s="1"/>
  <c r="V11" i="22" s="1"/>
  <c r="H33" i="23"/>
  <c r="H39" i="23" s="1"/>
  <c r="H7" i="24" s="1"/>
  <c r="H11" i="24" s="1"/>
  <c r="H38" i="23"/>
  <c r="I31" i="23"/>
  <c r="U42" i="22"/>
  <c r="V9" i="22" s="1"/>
  <c r="U32" i="22"/>
  <c r="U43" i="22" s="1"/>
  <c r="V10" i="22" s="1"/>
  <c r="G28" i="24"/>
  <c r="G33" i="24"/>
  <c r="G42" i="23" s="1"/>
  <c r="K40" i="22"/>
  <c r="Y13" i="21"/>
  <c r="X20" i="21"/>
  <c r="X21" i="23" s="1"/>
  <c r="V34" i="22"/>
  <c r="V35" i="22"/>
  <c r="V46" i="22" s="1"/>
  <c r="W13" i="22" s="1"/>
  <c r="W3" i="22"/>
  <c r="U23" i="23"/>
  <c r="V3" i="23"/>
  <c r="V45" i="22"/>
  <c r="W12" i="22" s="1"/>
  <c r="T25" i="23"/>
  <c r="F41" i="23" l="1"/>
  <c r="V33" i="22"/>
  <c r="V44" i="22" s="1"/>
  <c r="W11" i="22" s="1"/>
  <c r="V32" i="22"/>
  <c r="V43" i="22" s="1"/>
  <c r="W10" i="22" s="1"/>
  <c r="K47" i="22"/>
  <c r="K51" i="22" s="1"/>
  <c r="K9" i="23" s="1"/>
  <c r="K10" i="23" s="1"/>
  <c r="K13" i="23" s="1"/>
  <c r="K16" i="23" s="1"/>
  <c r="K20" i="23" s="1"/>
  <c r="L7" i="22"/>
  <c r="I33" i="23"/>
  <c r="I39" i="23" s="1"/>
  <c r="I7" i="24" s="1"/>
  <c r="I11" i="24" s="1"/>
  <c r="I38" i="23"/>
  <c r="W35" i="22"/>
  <c r="W46" i="22" s="1"/>
  <c r="X13" i="22" s="1"/>
  <c r="W34" i="22"/>
  <c r="W45" i="22" s="1"/>
  <c r="X12" i="22" s="1"/>
  <c r="X3" i="22"/>
  <c r="V30" i="22"/>
  <c r="V41" i="22" s="1"/>
  <c r="W8" i="22" s="1"/>
  <c r="U25" i="23"/>
  <c r="U27" i="23" s="1"/>
  <c r="U24" i="23"/>
  <c r="G29" i="24"/>
  <c r="H28" i="24"/>
  <c r="H33" i="24"/>
  <c r="H42" i="23" s="1"/>
  <c r="V23" i="23"/>
  <c r="W3" i="23"/>
  <c r="V31" i="22"/>
  <c r="V42" i="22" s="1"/>
  <c r="W9" i="22" s="1"/>
  <c r="Y20" i="21"/>
  <c r="Y21" i="23" s="1"/>
  <c r="Z13" i="21"/>
  <c r="W44" i="22" l="1"/>
  <c r="X11" i="22" s="1"/>
  <c r="W33" i="22"/>
  <c r="W31" i="22"/>
  <c r="W42" i="22" s="1"/>
  <c r="X9" i="22" s="1"/>
  <c r="X31" i="22" s="1"/>
  <c r="W30" i="22"/>
  <c r="W41" i="22" s="1"/>
  <c r="X8" i="22" s="1"/>
  <c r="W32" i="22"/>
  <c r="W43" i="22" s="1"/>
  <c r="X10" i="22" s="1"/>
  <c r="AA13" i="21"/>
  <c r="Z20" i="21"/>
  <c r="Z21" i="23" s="1"/>
  <c r="V25" i="23"/>
  <c r="V27" i="23" s="1"/>
  <c r="V24" i="23"/>
  <c r="X34" i="22"/>
  <c r="X45" i="22" s="1"/>
  <c r="Y12" i="22" s="1"/>
  <c r="X35" i="22"/>
  <c r="X46" i="22" s="1"/>
  <c r="Y13" i="22" s="1"/>
  <c r="Y3" i="22"/>
  <c r="L14" i="22"/>
  <c r="L29" i="22"/>
  <c r="L36" i="22" s="1"/>
  <c r="L8" i="23" s="1"/>
  <c r="W23" i="23"/>
  <c r="X3" i="23"/>
  <c r="G41" i="23"/>
  <c r="H27" i="24"/>
  <c r="H29" i="24" s="1"/>
  <c r="I28" i="24"/>
  <c r="I33" i="24"/>
  <c r="I42" i="23" s="1"/>
  <c r="L40" i="22" l="1"/>
  <c r="L47" i="22" s="1"/>
  <c r="L51" i="22" s="1"/>
  <c r="L9" i="23" s="1"/>
  <c r="L10" i="23" s="1"/>
  <c r="L13" i="23" s="1"/>
  <c r="L16" i="23" s="1"/>
  <c r="L20" i="23" s="1"/>
  <c r="X32" i="22"/>
  <c r="X43" i="22" s="1"/>
  <c r="Y10" i="22" s="1"/>
  <c r="X30" i="22"/>
  <c r="X41" i="22" s="1"/>
  <c r="Y8" i="22" s="1"/>
  <c r="I27" i="24"/>
  <c r="I29" i="24" s="1"/>
  <c r="H41" i="23"/>
  <c r="W24" i="23"/>
  <c r="W25" i="23"/>
  <c r="W27" i="23" s="1"/>
  <c r="Y35" i="22"/>
  <c r="Y46" i="22" s="1"/>
  <c r="Z13" i="22" s="1"/>
  <c r="Y34" i="22"/>
  <c r="Y45" i="22" s="1"/>
  <c r="Z12" i="22" s="1"/>
  <c r="Z3" i="22"/>
  <c r="X42" i="22"/>
  <c r="Y9" i="22" s="1"/>
  <c r="X23" i="23"/>
  <c r="Y3" i="23"/>
  <c r="X33" i="22"/>
  <c r="X44" i="22" s="1"/>
  <c r="Y11" i="22" s="1"/>
  <c r="AA20" i="21"/>
  <c r="AA21" i="23" s="1"/>
  <c r="AB13" i="21"/>
  <c r="M7" i="22" l="1"/>
  <c r="M14" i="22" s="1"/>
  <c r="Y33" i="22"/>
  <c r="Y44" i="22" s="1"/>
  <c r="Z11" i="22" s="1"/>
  <c r="Z33" i="22" s="1"/>
  <c r="Y32" i="22"/>
  <c r="Y43" i="22" s="1"/>
  <c r="Z10" i="22" s="1"/>
  <c r="Z32" i="22" s="1"/>
  <c r="Y30" i="22"/>
  <c r="Y41" i="22" s="1"/>
  <c r="Z8" i="22" s="1"/>
  <c r="Y31" i="22"/>
  <c r="Y42" i="22" s="1"/>
  <c r="Z9" i="22" s="1"/>
  <c r="I41" i="23"/>
  <c r="J27" i="24"/>
  <c r="AC13" i="21"/>
  <c r="AB20" i="21"/>
  <c r="AB21" i="23" s="1"/>
  <c r="Z3" i="23"/>
  <c r="Y23" i="23"/>
  <c r="Z35" i="22"/>
  <c r="Z34" i="22"/>
  <c r="Z45" i="22" s="1"/>
  <c r="AA12" i="22" s="1"/>
  <c r="AA3" i="22"/>
  <c r="Z46" i="22"/>
  <c r="AA13" i="22" s="1"/>
  <c r="X24" i="23"/>
  <c r="X25" i="23"/>
  <c r="X27" i="23" s="1"/>
  <c r="M29" i="22" l="1"/>
  <c r="M36" i="22" s="1"/>
  <c r="M8" i="23" s="1"/>
  <c r="Z30" i="22"/>
  <c r="Z41" i="22" s="1"/>
  <c r="AA8" i="22" s="1"/>
  <c r="AA30" i="22" s="1"/>
  <c r="Z31" i="22"/>
  <c r="Z42" i="22" s="1"/>
  <c r="AA9" i="22" s="1"/>
  <c r="AA35" i="22"/>
  <c r="AA46" i="22" s="1"/>
  <c r="AB13" i="22" s="1"/>
  <c r="AA34" i="22"/>
  <c r="AA45" i="22" s="1"/>
  <c r="AB12" i="22" s="1"/>
  <c r="AB3" i="22"/>
  <c r="AC20" i="21"/>
  <c r="AC21" i="23" s="1"/>
  <c r="Y25" i="23" s="1"/>
  <c r="AD13" i="21"/>
  <c r="AD20" i="21" s="1"/>
  <c r="AD21" i="23" s="1"/>
  <c r="Z43" i="22"/>
  <c r="AA10" i="22" s="1"/>
  <c r="M40" i="22"/>
  <c r="Z23" i="23"/>
  <c r="AA3" i="23"/>
  <c r="Z44" i="22"/>
  <c r="AA11" i="22" s="1"/>
  <c r="AA31" i="22" l="1"/>
  <c r="AA42" i="22" s="1"/>
  <c r="AB9" i="22" s="1"/>
  <c r="M47" i="22"/>
  <c r="M51" i="22" s="1"/>
  <c r="M9" i="23" s="1"/>
  <c r="M10" i="23" s="1"/>
  <c r="M13" i="23" s="1"/>
  <c r="M16" i="23" s="1"/>
  <c r="M20" i="23" s="1"/>
  <c r="N7" i="22"/>
  <c r="AB34" i="22"/>
  <c r="AB45" i="22" s="1"/>
  <c r="AC12" i="22" s="1"/>
  <c r="AB35" i="22"/>
  <c r="AB46" i="22" s="1"/>
  <c r="AC13" i="22" s="1"/>
  <c r="AC3" i="22"/>
  <c r="AA23" i="23"/>
  <c r="AB3" i="23"/>
  <c r="AA32" i="22"/>
  <c r="AA43" i="22" s="1"/>
  <c r="AB10" i="22" s="1"/>
  <c r="Z25" i="23"/>
  <c r="Z27" i="23" s="1"/>
  <c r="Z24" i="23"/>
  <c r="AA33" i="22"/>
  <c r="AA44" i="22" s="1"/>
  <c r="AB11" i="22" s="1"/>
  <c r="AA41" i="22"/>
  <c r="AB8" i="22" s="1"/>
  <c r="AB32" i="22" l="1"/>
  <c r="AB43" i="22" s="1"/>
  <c r="AC10" i="22" s="1"/>
  <c r="AB31" i="22"/>
  <c r="AB42" i="22" s="1"/>
  <c r="AC9" i="22" s="1"/>
  <c r="AB33" i="22"/>
  <c r="AB44" i="22" s="1"/>
  <c r="AC11" i="22" s="1"/>
  <c r="AC35" i="22"/>
  <c r="AC46" i="22" s="1"/>
  <c r="AD13" i="22" s="1"/>
  <c r="AC34" i="22"/>
  <c r="AC45" i="22" s="1"/>
  <c r="AD12" i="22" s="1"/>
  <c r="AD3" i="22"/>
  <c r="AB30" i="22"/>
  <c r="AB41" i="22" s="1"/>
  <c r="AC8" i="22" s="1"/>
  <c r="AB23" i="23"/>
  <c r="AC3" i="23"/>
  <c r="N14" i="22"/>
  <c r="N29" i="22"/>
  <c r="N36" i="22" s="1"/>
  <c r="N8" i="23" s="1"/>
  <c r="AA25" i="23"/>
  <c r="AA27" i="23" s="1"/>
  <c r="AA24" i="23"/>
  <c r="AC43" i="22" l="1"/>
  <c r="AD10" i="22" s="1"/>
  <c r="AC32" i="22"/>
  <c r="AC30" i="22"/>
  <c r="AC41" i="22" s="1"/>
  <c r="AD8" i="22" s="1"/>
  <c r="AC33" i="22"/>
  <c r="AC44" i="22" s="1"/>
  <c r="AD11" i="22" s="1"/>
  <c r="AC31" i="22"/>
  <c r="AC42" i="22" s="1"/>
  <c r="AD9" i="22" s="1"/>
  <c r="N40" i="22"/>
  <c r="AD3" i="23"/>
  <c r="AD23" i="23" s="1"/>
  <c r="AC23" i="23"/>
  <c r="AB24" i="23"/>
  <c r="AB25" i="23"/>
  <c r="AB27" i="23" s="1"/>
  <c r="AD34" i="22"/>
  <c r="AD45" i="22" s="1"/>
  <c r="AD35" i="22"/>
  <c r="AD46" i="22" s="1"/>
  <c r="AD31" i="22" l="1"/>
  <c r="AD42" i="22" s="1"/>
  <c r="AD33" i="22"/>
  <c r="AD44" i="22" s="1"/>
  <c r="AD30" i="22"/>
  <c r="AD41" i="22" s="1"/>
  <c r="AD25" i="23"/>
  <c r="AD32" i="22"/>
  <c r="AD43" i="22" s="1"/>
  <c r="O7" i="22"/>
  <c r="N47" i="22"/>
  <c r="N51" i="22" s="1"/>
  <c r="N9" i="23" s="1"/>
  <c r="N10" i="23" s="1"/>
  <c r="N13" i="23" s="1"/>
  <c r="N16" i="23" s="1"/>
  <c r="N20" i="23" s="1"/>
  <c r="J24" i="23" s="1"/>
  <c r="J27" i="23" s="1"/>
  <c r="J31" i="23" s="1"/>
  <c r="AC25" i="23"/>
  <c r="AC27" i="23" s="1"/>
  <c r="AC24" i="23"/>
  <c r="O14" i="22" l="1"/>
  <c r="O29" i="22"/>
  <c r="O36" i="22" s="1"/>
  <c r="O8" i="23" s="1"/>
  <c r="J38" i="23"/>
  <c r="J33" i="23"/>
  <c r="J39" i="23" s="1"/>
  <c r="J7" i="24" s="1"/>
  <c r="J11" i="24" s="1"/>
  <c r="K31" i="23"/>
  <c r="O40" i="22" l="1"/>
  <c r="J28" i="24"/>
  <c r="J29" i="24" s="1"/>
  <c r="J33" i="24"/>
  <c r="J42" i="23" s="1"/>
  <c r="O47" i="22"/>
  <c r="P7" i="22"/>
  <c r="K38" i="23"/>
  <c r="K33" i="23"/>
  <c r="K39" i="23" s="1"/>
  <c r="K7" i="24" s="1"/>
  <c r="K11" i="24" s="1"/>
  <c r="L31" i="23"/>
  <c r="O51" i="22"/>
  <c r="O9" i="23" s="1"/>
  <c r="O10" i="23" s="1"/>
  <c r="O13" i="23" s="1"/>
  <c r="O16" i="23" s="1"/>
  <c r="O20" i="23" s="1"/>
  <c r="K27" i="24" l="1"/>
  <c r="J41" i="23"/>
  <c r="L38" i="23"/>
  <c r="L33" i="23"/>
  <c r="L39" i="23" s="1"/>
  <c r="L7" i="24" s="1"/>
  <c r="L11" i="24" s="1"/>
  <c r="M31" i="23"/>
  <c r="P14" i="22"/>
  <c r="P29" i="22"/>
  <c r="P36" i="22" s="1"/>
  <c r="P8" i="23" s="1"/>
  <c r="K28" i="24"/>
  <c r="K33" i="24"/>
  <c r="K42" i="23" s="1"/>
  <c r="L28" i="24" l="1"/>
  <c r="L33" i="24"/>
  <c r="L42" i="23" s="1"/>
  <c r="P40" i="22"/>
  <c r="M33" i="23"/>
  <c r="M39" i="23" s="1"/>
  <c r="M7" i="24" s="1"/>
  <c r="M11" i="24" s="1"/>
  <c r="M38" i="23"/>
  <c r="N31" i="23"/>
  <c r="K29" i="24"/>
  <c r="L27" i="24" l="1"/>
  <c r="L29" i="24" s="1"/>
  <c r="K41" i="23"/>
  <c r="P47" i="22"/>
  <c r="P51" i="22" s="1"/>
  <c r="P9" i="23" s="1"/>
  <c r="P10" i="23" s="1"/>
  <c r="P13" i="23" s="1"/>
  <c r="P16" i="23" s="1"/>
  <c r="P20" i="23" s="1"/>
  <c r="Q7" i="22"/>
  <c r="N38" i="23"/>
  <c r="N33" i="23"/>
  <c r="N39" i="23" s="1"/>
  <c r="N7" i="24" s="1"/>
  <c r="N11" i="24" s="1"/>
  <c r="M28" i="24"/>
  <c r="M33" i="24"/>
  <c r="M42" i="23" s="1"/>
  <c r="M27" i="24" l="1"/>
  <c r="M29" i="24" s="1"/>
  <c r="L41" i="23"/>
  <c r="Q14" i="22"/>
  <c r="Q29" i="22"/>
  <c r="Q36" i="22" s="1"/>
  <c r="Q8" i="23" s="1"/>
  <c r="N28" i="24"/>
  <c r="N33" i="24"/>
  <c r="N42" i="23" s="1"/>
  <c r="N27" i="24" l="1"/>
  <c r="N29" i="24" s="1"/>
  <c r="N41" i="23" s="1"/>
  <c r="M41" i="23"/>
  <c r="Q40" i="22"/>
  <c r="Q47" i="22" l="1"/>
  <c r="Q51" i="22" s="1"/>
  <c r="Q9" i="23" s="1"/>
  <c r="Q10" i="23" s="1"/>
  <c r="Q13" i="23" s="1"/>
  <c r="Q16" i="23" s="1"/>
  <c r="Q20" i="23" s="1"/>
  <c r="R7" i="22"/>
  <c r="R14" i="22" l="1"/>
  <c r="R29" i="22"/>
  <c r="R36" i="22" s="1"/>
  <c r="R8" i="23" s="1"/>
  <c r="R40" i="22" l="1"/>
  <c r="S7" i="22" s="1"/>
  <c r="R47" i="22" l="1"/>
  <c r="R51" i="22" s="1"/>
  <c r="R9" i="23" s="1"/>
  <c r="R10" i="23" s="1"/>
  <c r="R13" i="23" s="1"/>
  <c r="R16" i="23" s="1"/>
  <c r="R20" i="23" s="1"/>
  <c r="S14" i="22"/>
  <c r="S29" i="22"/>
  <c r="S36" i="22" s="1"/>
  <c r="S8" i="23" s="1"/>
  <c r="S40" i="22" l="1"/>
  <c r="S47" i="22" s="1"/>
  <c r="S51" i="22" s="1"/>
  <c r="S9" i="23" s="1"/>
  <c r="S10" i="23" s="1"/>
  <c r="S13" i="23" s="1"/>
  <c r="S16" i="23" s="1"/>
  <c r="S20" i="23" s="1"/>
  <c r="O24" i="23" s="1"/>
  <c r="O27" i="23" s="1"/>
  <c r="O31" i="23" s="1"/>
  <c r="T7" i="22" l="1"/>
  <c r="T29" i="22" s="1"/>
  <c r="T36" i="22" s="1"/>
  <c r="T8" i="23" s="1"/>
  <c r="O38" i="23"/>
  <c r="O33" i="23"/>
  <c r="O39" i="23" s="1"/>
  <c r="P31" i="23"/>
  <c r="T14" i="22"/>
  <c r="T40" i="22" l="1"/>
  <c r="P38" i="23"/>
  <c r="P33" i="23"/>
  <c r="P39" i="23" s="1"/>
  <c r="Q31" i="23"/>
  <c r="Q33" i="23" l="1"/>
  <c r="Q39" i="23" s="1"/>
  <c r="Q38" i="23"/>
  <c r="R31" i="23"/>
  <c r="T47" i="22"/>
  <c r="T51" i="22" s="1"/>
  <c r="T9" i="23" s="1"/>
  <c r="T10" i="23" s="1"/>
  <c r="T13" i="23" s="1"/>
  <c r="T16" i="23" s="1"/>
  <c r="T20" i="23" s="1"/>
  <c r="U7" i="22"/>
  <c r="U14" i="22" l="1"/>
  <c r="U29" i="22"/>
  <c r="U36" i="22" s="1"/>
  <c r="U8" i="23" s="1"/>
  <c r="R38" i="23"/>
  <c r="R33" i="23"/>
  <c r="R39" i="23" s="1"/>
  <c r="S31" i="23"/>
  <c r="U40" i="22" l="1"/>
  <c r="S33" i="23"/>
  <c r="S39" i="23" s="1"/>
  <c r="S38" i="23"/>
  <c r="U47" i="22" l="1"/>
  <c r="U51" i="22" s="1"/>
  <c r="U9" i="23" s="1"/>
  <c r="U10" i="23" s="1"/>
  <c r="U13" i="23" s="1"/>
  <c r="U16" i="23" s="1"/>
  <c r="U20" i="23" s="1"/>
  <c r="V7" i="22"/>
  <c r="V14" i="22" l="1"/>
  <c r="V29" i="22"/>
  <c r="V36" i="22" s="1"/>
  <c r="V8" i="23" s="1"/>
  <c r="V40" i="22" l="1"/>
  <c r="W7" i="22" l="1"/>
  <c r="V47" i="22"/>
  <c r="V51" i="22" s="1"/>
  <c r="V9" i="23" s="1"/>
  <c r="V10" i="23" s="1"/>
  <c r="V13" i="23" s="1"/>
  <c r="V16" i="23" s="1"/>
  <c r="V20" i="23" s="1"/>
  <c r="W14" i="22" l="1"/>
  <c r="W29" i="22"/>
  <c r="W36" i="22" s="1"/>
  <c r="W8" i="23" s="1"/>
  <c r="W40" i="22" l="1"/>
  <c r="W47" i="22" l="1"/>
  <c r="W51" i="22" s="1"/>
  <c r="W9" i="23" s="1"/>
  <c r="W10" i="23" s="1"/>
  <c r="W13" i="23" s="1"/>
  <c r="W16" i="23" s="1"/>
  <c r="W20" i="23" s="1"/>
  <c r="X7" i="22"/>
  <c r="X14" i="22" l="1"/>
  <c r="X29" i="22"/>
  <c r="X36" i="22" s="1"/>
  <c r="X8" i="23" s="1"/>
  <c r="X40" i="22" l="1"/>
  <c r="X47" i="22" l="1"/>
  <c r="X51" i="22" s="1"/>
  <c r="X9" i="23" s="1"/>
  <c r="X10" i="23" s="1"/>
  <c r="X13" i="23" s="1"/>
  <c r="X16" i="23" s="1"/>
  <c r="X20" i="23" s="1"/>
  <c r="T24" i="23" s="1"/>
  <c r="T27" i="23" s="1"/>
  <c r="T31" i="23" s="1"/>
  <c r="Y7" i="22"/>
  <c r="Y14" i="22" l="1"/>
  <c r="Y29" i="22"/>
  <c r="Y36" i="22" s="1"/>
  <c r="Y8" i="23" s="1"/>
  <c r="T38" i="23"/>
  <c r="T33" i="23"/>
  <c r="T39" i="23" s="1"/>
  <c r="U31" i="23"/>
  <c r="Y40" i="22" l="1"/>
  <c r="U33" i="23"/>
  <c r="U39" i="23" s="1"/>
  <c r="U38" i="23"/>
  <c r="V31" i="23"/>
  <c r="Y47" i="22"/>
  <c r="Y51" i="22" s="1"/>
  <c r="Y9" i="23" s="1"/>
  <c r="Y10" i="23" s="1"/>
  <c r="Y13" i="23" s="1"/>
  <c r="Y16" i="23" s="1"/>
  <c r="Y20" i="23" s="1"/>
  <c r="Z7" i="22"/>
  <c r="Z14" i="22" l="1"/>
  <c r="Z29" i="22"/>
  <c r="Z36" i="22" s="1"/>
  <c r="Z8" i="23" s="1"/>
  <c r="V38" i="23"/>
  <c r="V33" i="23"/>
  <c r="V39" i="23" s="1"/>
  <c r="W31" i="23"/>
  <c r="W38" i="23" l="1"/>
  <c r="W33" i="23"/>
  <c r="W39" i="23" s="1"/>
  <c r="X31" i="23"/>
  <c r="Z40" i="22"/>
  <c r="X33" i="23" l="1"/>
  <c r="X39" i="23" s="1"/>
  <c r="X38" i="23"/>
  <c r="AA7" i="22"/>
  <c r="Z47" i="22"/>
  <c r="Z51" i="22" s="1"/>
  <c r="Z9" i="23" s="1"/>
  <c r="Z10" i="23" s="1"/>
  <c r="Z13" i="23" s="1"/>
  <c r="Z16" i="23" s="1"/>
  <c r="Z20" i="23" s="1"/>
  <c r="AA14" i="22" l="1"/>
  <c r="AA29" i="22"/>
  <c r="AA36" i="22" s="1"/>
  <c r="AA8" i="23" s="1"/>
  <c r="AA40" i="22" l="1"/>
  <c r="AA47" i="22" l="1"/>
  <c r="AA51" i="22" s="1"/>
  <c r="AA9" i="23" s="1"/>
  <c r="AA10" i="23" s="1"/>
  <c r="AA13" i="23" s="1"/>
  <c r="AA16" i="23" s="1"/>
  <c r="AA20" i="23" s="1"/>
  <c r="AB7" i="22"/>
  <c r="AB14" i="22" l="1"/>
  <c r="AB29" i="22"/>
  <c r="AB36" i="22" s="1"/>
  <c r="AB8" i="23" s="1"/>
  <c r="AB40" i="22" l="1"/>
  <c r="AB47" i="22" s="1"/>
  <c r="AB51" i="22" s="1"/>
  <c r="AB9" i="23" s="1"/>
  <c r="AB10" i="23" s="1"/>
  <c r="AB13" i="23" s="1"/>
  <c r="AB16" i="23" s="1"/>
  <c r="AB20" i="23" s="1"/>
  <c r="AC7" i="22" l="1"/>
  <c r="AC14" i="22" s="1"/>
  <c r="AC29" i="22"/>
  <c r="AC36" i="22" s="1"/>
  <c r="AC8" i="23" s="1"/>
  <c r="AC40" i="22" l="1"/>
  <c r="AC47" i="22" l="1"/>
  <c r="AC51" i="22" s="1"/>
  <c r="AC9" i="23" s="1"/>
  <c r="AC10" i="23" s="1"/>
  <c r="AC13" i="23" s="1"/>
  <c r="AC16" i="23" s="1"/>
  <c r="AC20" i="23" s="1"/>
  <c r="Y24" i="23" s="1"/>
  <c r="Y27" i="23" s="1"/>
  <c r="Y31" i="23" s="1"/>
  <c r="AD7" i="22"/>
  <c r="Y33" i="23" l="1"/>
  <c r="Y39" i="23" s="1"/>
  <c r="Y38" i="23"/>
  <c r="Z31" i="23"/>
  <c r="AD14" i="22"/>
  <c r="AD29" i="22"/>
  <c r="AD36" i="22" s="1"/>
  <c r="AD8" i="23" s="1"/>
  <c r="AD40" i="22" l="1"/>
  <c r="AD47" i="22" s="1"/>
  <c r="AD51" i="22" s="1"/>
  <c r="AD9" i="23" s="1"/>
  <c r="AD10" i="23" s="1"/>
  <c r="AD13" i="23" s="1"/>
  <c r="AD16" i="23" s="1"/>
  <c r="AD20" i="23" s="1"/>
  <c r="AD24" i="23" s="1"/>
  <c r="AD27" i="23" s="1"/>
  <c r="AD31" i="23" s="1"/>
  <c r="Z38" i="23"/>
  <c r="Z33" i="23"/>
  <c r="Z39" i="23" s="1"/>
  <c r="AA31" i="23"/>
  <c r="AD38" i="23" l="1"/>
  <c r="AD33" i="23"/>
  <c r="AD39" i="23" s="1"/>
  <c r="AA38" i="23"/>
  <c r="AA33" i="23"/>
  <c r="AA39" i="23" s="1"/>
  <c r="AB31" i="23"/>
  <c r="AB38" i="23" l="1"/>
  <c r="AB33" i="23"/>
  <c r="AB39" i="23" s="1"/>
  <c r="AC31" i="23"/>
  <c r="AC33" i="23" l="1"/>
  <c r="AC39" i="23" s="1"/>
  <c r="AC38" i="23"/>
</calcChain>
</file>

<file path=xl/sharedStrings.xml><?xml version="1.0" encoding="utf-8"?>
<sst xmlns="http://schemas.openxmlformats.org/spreadsheetml/2006/main" count="278" uniqueCount="143">
  <si>
    <t>Unit</t>
  </si>
  <si>
    <t>Comments</t>
  </si>
  <si>
    <t>years</t>
  </si>
  <si>
    <t>Inflation</t>
  </si>
  <si>
    <t>%</t>
  </si>
  <si>
    <t>Tariffs</t>
  </si>
  <si>
    <t>$</t>
  </si>
  <si>
    <t>$/kWh</t>
  </si>
  <si>
    <t>Interest rate (nominal)</t>
  </si>
  <si>
    <t>ratio</t>
  </si>
  <si>
    <t>factor</t>
  </si>
  <si>
    <t>Depreciation</t>
  </si>
  <si>
    <t>Gearing</t>
  </si>
  <si>
    <t>Operating cash flows</t>
  </si>
  <si>
    <t>Net operating cash flow</t>
  </si>
  <si>
    <t>Investing cash flows</t>
  </si>
  <si>
    <t>Investment costs</t>
  </si>
  <si>
    <t>Net investing cash flow</t>
  </si>
  <si>
    <t>Financing cash flows</t>
  </si>
  <si>
    <t>Proceeds on loan</t>
  </si>
  <si>
    <t>Principal paid on Loan</t>
  </si>
  <si>
    <t>Equity contributions</t>
  </si>
  <si>
    <t>Net financing cash flow</t>
  </si>
  <si>
    <t>Net cash flows</t>
  </si>
  <si>
    <t>Cash at Beginning of Year</t>
  </si>
  <si>
    <t>Net Change in Cash</t>
  </si>
  <si>
    <t>Cash at End of Year</t>
  </si>
  <si>
    <t>year</t>
  </si>
  <si>
    <t>Supportive framework conditions for mini-grids employing renewable and hybrid generation in the SADC Region</t>
  </si>
  <si>
    <t>©2014 Economic Consulting Associates Ltd</t>
  </si>
  <si>
    <t>This tool was prepared for the SADC Regional Electricity Regulators’ Association (RERA) by Economic Consulting Associates and Practical Action (Southern Africa). The support of the Africa-EU Renewable Energy Cooperation Programme (RECP), managed by the European Union Energy Initiative Partnership Dialogue Facility (EUEI PDF), is gratefully acknowledged.</t>
  </si>
  <si>
    <t>Inputs</t>
  </si>
  <si>
    <t>Total</t>
  </si>
  <si>
    <t>Operating costs</t>
  </si>
  <si>
    <t>Fuel costs</t>
  </si>
  <si>
    <t>Loan period</t>
  </si>
  <si>
    <t>Note: Model is populated with dummy data for illustrative purposes</t>
  </si>
  <si>
    <t>Mini-grid Retail Tariff Tool</t>
  </si>
  <si>
    <t>Notes</t>
  </si>
  <si>
    <t>General</t>
  </si>
  <si>
    <t>First year of costs</t>
  </si>
  <si>
    <t>The first year that costs are incurred</t>
  </si>
  <si>
    <t>First year of operation</t>
  </si>
  <si>
    <t>The year sales begin</t>
  </si>
  <si>
    <t>Tariff period</t>
  </si>
  <si>
    <t>The period over which tariffs stay constant (in real terms) between updates</t>
  </si>
  <si>
    <t>Billed consumption</t>
  </si>
  <si>
    <t>Domestic customers</t>
  </si>
  <si>
    <t>kWh</t>
  </si>
  <si>
    <t>Input forecast billed electricity consumption by customer category</t>
  </si>
  <si>
    <t>Commercial/industrial customers</t>
  </si>
  <si>
    <t>Input operating costs by category. This should include power purchase costs. All cost forecasts should exclude inflation.</t>
  </si>
  <si>
    <t>Generator maintenance costs</t>
  </si>
  <si>
    <t>Network maintenance costs</t>
  </si>
  <si>
    <t>Administration costs</t>
  </si>
  <si>
    <t>Staff costs</t>
  </si>
  <si>
    <t>Capital costs (less capital contributions)</t>
  </si>
  <si>
    <t>Development</t>
  </si>
  <si>
    <t>Input capital costs by asset type. This should be the all-in cost (including interest during construction). Capital contributions should be excluded from capital costs.</t>
  </si>
  <si>
    <t>Generator</t>
  </si>
  <si>
    <t>Network</t>
  </si>
  <si>
    <t>Land</t>
  </si>
  <si>
    <t>Meters</t>
  </si>
  <si>
    <t>Average asset lives by asset type</t>
  </si>
  <si>
    <t>Input average asset lives for each asset type entered above. Leave blank or enter NA if asset does not depreciate.</t>
  </si>
  <si>
    <t>Collection rate</t>
  </si>
  <si>
    <t>Collection rate as a percentage of billed revenue</t>
  </si>
  <si>
    <t>The percentage of billed revenue that is collected.</t>
  </si>
  <si>
    <t>Deductible income</t>
  </si>
  <si>
    <t>Connection and disconnection fees</t>
  </si>
  <si>
    <t>Input non-tariff income that is earned using assets paid for from above costs. This may include connection and disconnection fees, metering reading fees, rental income etc.</t>
  </si>
  <si>
    <t>Rental income</t>
  </si>
  <si>
    <t>Financing costs</t>
  </si>
  <si>
    <t>The percentage of investments financed with debt</t>
  </si>
  <si>
    <t>The repayment period of loans</t>
  </si>
  <si>
    <t>Nominal</t>
  </si>
  <si>
    <t>Interest rate (on loans) including inflation</t>
  </si>
  <si>
    <t>Real</t>
  </si>
  <si>
    <t>Interest rate (on loans) excluding inflation</t>
  </si>
  <si>
    <t>Pre-tax return on equity</t>
  </si>
  <si>
    <t>The return that the investor expects on equity contributed including inflation, before tax</t>
  </si>
  <si>
    <t>The return that the investor expects on equity contributed excluding inflation, before tax</t>
  </si>
  <si>
    <t>Weighted average cost of capital (pre-tax real)</t>
  </si>
  <si>
    <t>The weighted average cost of capital employed (used to calculate return on capital)</t>
  </si>
  <si>
    <t>Inflation rate (for indexation of tariff)</t>
  </si>
  <si>
    <t>Assumes that the tariff will be indexed to inflation (to reflect changes in costs over time).</t>
  </si>
  <si>
    <t>Calculations</t>
  </si>
  <si>
    <t>Opening asset base</t>
  </si>
  <si>
    <t>The depreciated value of assets as at the start of the year</t>
  </si>
  <si>
    <t>Capital expenditure</t>
  </si>
  <si>
    <t>Annual depreciation, calculated based on accellerated rate (using average asset lives). Assumes capital expenditure occurs midway through the year</t>
  </si>
  <si>
    <t>Closing asset base</t>
  </si>
  <si>
    <t>The depreciated value of assets as at the end of the year</t>
  </si>
  <si>
    <t>Return on capital</t>
  </si>
  <si>
    <t>Return on capital (pre-tax)</t>
  </si>
  <si>
    <t>Return on capital, before tax, calculated as the average of the opening and closing asset base, multiplied by the pre-tax real weighted average cost of capital.</t>
  </si>
  <si>
    <t>Opening asset value</t>
  </si>
  <si>
    <t>Plus: Capex</t>
  </si>
  <si>
    <t>Less: Depreciation</t>
  </si>
  <si>
    <t>Closing asset value</t>
  </si>
  <si>
    <t>Revenue requirement</t>
  </si>
  <si>
    <t xml:space="preserve">The three main 'building blocks' of the costs of supplying electricity. </t>
  </si>
  <si>
    <t>Total costs</t>
  </si>
  <si>
    <t>Costs are grossed up to reflect the fact that some will never be collected (bad debt)</t>
  </si>
  <si>
    <t>Total costs plus uncollected</t>
  </si>
  <si>
    <t>Less: Deductible income</t>
  </si>
  <si>
    <t>Non-tariff income is deducted to give the total revenue required to operate the system sustainably.</t>
  </si>
  <si>
    <t>Total revenue requirement</t>
  </si>
  <si>
    <t>Average tariffs</t>
  </si>
  <si>
    <t>Revenue is divided by billed consumption to give the required cost-recovery tariff</t>
  </si>
  <si>
    <t>Tariff update?</t>
  </si>
  <si>
    <t>yes/no</t>
  </si>
  <si>
    <t>Tariffs are kept constant (in real terms) between updates.</t>
  </si>
  <si>
    <t>NPV (revenue requirement)</t>
  </si>
  <si>
    <t>NPV (billed consumption)</t>
  </si>
  <si>
    <t>Average tariff</t>
  </si>
  <si>
    <t>Cost-recovery tariffs</t>
  </si>
  <si>
    <t>Cost recovery tariff (real)</t>
  </si>
  <si>
    <t>Shows annual tariffs, adjusted at the end of each tariff period, in both real and nominal terms (excluding and including inflation).</t>
  </si>
  <si>
    <t>Inflation factor</t>
  </si>
  <si>
    <t>Cost recovery tariff (nominal)</t>
  </si>
  <si>
    <t>Adjustments to tariffs to improve cashflow</t>
  </si>
  <si>
    <t>Tariff adjustment factor</t>
  </si>
  <si>
    <t xml:space="preserve">Adjustment factors can be used to change the profile of tariffs so that cash flow is improved. Adjustments should be revenue neutral over time. </t>
  </si>
  <si>
    <t>Adjusted tariff (real)</t>
  </si>
  <si>
    <t>Adjusted tariff (nominal)</t>
  </si>
  <si>
    <t>Cash flow indicators are calculated on the cash flow worksheet</t>
  </si>
  <si>
    <t>Debt service coverage</t>
  </si>
  <si>
    <t>Cash flow analysis</t>
  </si>
  <si>
    <t>Tariff revenue collected</t>
  </si>
  <si>
    <t>Total tariff revenue, less the amount no collected</t>
  </si>
  <si>
    <t>Deductible revenue</t>
  </si>
  <si>
    <t>Plus non-tariff revenue</t>
  </si>
  <si>
    <t>Less operating costs.</t>
  </si>
  <si>
    <t>Interest on loans</t>
  </si>
  <si>
    <t>Plus interest on loans, which is calculated assuming that financing parameters on the Inputs worksheet, and that the investor is unable to refinance (to maintain an optimal capital structure) in these initial years of operation.</t>
  </si>
  <si>
    <t>Gives the annual operating cash flow</t>
  </si>
  <si>
    <t>The cost of capital expenditure</t>
  </si>
  <si>
    <t>As above, assumes that capital expenditure is initally financed based with gearing on Inputs worksheet, but that the investor is unable to refinance (to maintain an optimal capital structure) in these initial years of operation.</t>
  </si>
  <si>
    <t>Loan paid based on term of loan</t>
  </si>
  <si>
    <t>Equity share of capital expenditure</t>
  </si>
  <si>
    <t>Gives the anna</t>
  </si>
  <si>
    <t>Debt service coverage ratio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</si>
</sst>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8" x14ac:knownFonts="1">
    <font>
      <sz val="11"/>
      <color theme="1"/>
      <name val="Calibri"/>
      <family val="2"/>
      <scheme val="minor"/>
    </font>
    <font>
      <b/>
      <sz val="11"/>
      <color theme="0"/>
      <name val="Calibri"/>
      <family val="2"/>
      <scheme val="minor"/>
    </font>
    <font>
      <sz val="11"/>
      <color theme="0"/>
      <name val="Calibri"/>
      <family val="2"/>
      <scheme val="minor"/>
    </font>
    <font>
      <sz val="11"/>
      <color theme="1"/>
      <name val="Calibri"/>
      <family val="2"/>
      <scheme val="minor"/>
    </font>
    <font>
      <b/>
      <u/>
      <sz val="12"/>
      <color theme="0"/>
      <name val="Calibri"/>
      <family val="2"/>
      <scheme val="minor"/>
    </font>
    <font>
      <sz val="11"/>
      <color indexed="8"/>
      <name val="Calibri"/>
      <family val="2"/>
    </font>
    <font>
      <sz val="10"/>
      <color theme="1"/>
      <name val="Calibri"/>
      <family val="2"/>
      <scheme val="minor"/>
    </font>
    <font>
      <b/>
      <sz val="20"/>
      <color theme="0"/>
      <name val="Calibri"/>
      <family val="2"/>
      <scheme val="minor"/>
    </font>
    <font>
      <b/>
      <sz val="14"/>
      <color theme="0"/>
      <name val="Calibri"/>
      <family val="2"/>
      <scheme val="minor"/>
    </font>
    <font>
      <sz val="10"/>
      <name val="Calibri"/>
      <family val="2"/>
      <scheme val="minor"/>
    </font>
    <font>
      <sz val="10"/>
      <color theme="0"/>
      <name val="Calibri"/>
      <family val="2"/>
      <scheme val="minor"/>
    </font>
    <font>
      <b/>
      <sz val="12"/>
      <color theme="0"/>
      <name val="Calibri"/>
      <family val="2"/>
      <scheme val="minor"/>
    </font>
    <font>
      <i/>
      <sz val="10"/>
      <color theme="1"/>
      <name val="Calibri"/>
      <family val="2"/>
      <scheme val="minor"/>
    </font>
    <font>
      <b/>
      <sz val="10"/>
      <color theme="1"/>
      <name val="Calibri"/>
      <family val="2"/>
      <scheme val="minor"/>
    </font>
    <font>
      <b/>
      <i/>
      <sz val="10"/>
      <color theme="1"/>
      <name val="Calibri"/>
      <family val="2"/>
      <scheme val="minor"/>
    </font>
    <font>
      <sz val="9"/>
      <color theme="1"/>
      <name val="Arial"/>
      <family val="2"/>
    </font>
    <font>
      <i/>
      <sz val="10"/>
      <color theme="0"/>
      <name val="Calibri"/>
      <family val="2"/>
      <scheme val="minor"/>
    </font>
    <font>
      <b/>
      <i/>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s>
  <borders count="1">
    <border>
      <left/>
      <right/>
      <top/>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xf numFmtId="0" fontId="3" fillId="0" borderId="0"/>
  </cellStyleXfs>
  <cellXfs count="43">
    <xf numFmtId="0" fontId="0" fillId="0" borderId="0" xfId="0"/>
    <xf numFmtId="0" fontId="1" fillId="3" borderId="0" xfId="0" applyFont="1" applyFill="1" applyAlignment="1">
      <alignment vertical="top"/>
    </xf>
    <xf numFmtId="0" fontId="2" fillId="3" borderId="0" xfId="0" applyFont="1" applyFill="1" applyAlignment="1">
      <alignment vertical="top"/>
    </xf>
    <xf numFmtId="0" fontId="4" fillId="3" borderId="0" xfId="0" applyFont="1" applyFill="1" applyAlignment="1">
      <alignment vertical="top"/>
    </xf>
    <xf numFmtId="0" fontId="6" fillId="3" borderId="0" xfId="0" applyFont="1" applyFill="1" applyAlignment="1">
      <alignment vertical="top"/>
    </xf>
    <xf numFmtId="0" fontId="7" fillId="3" borderId="0" xfId="0" applyFont="1" applyFill="1" applyAlignment="1">
      <alignment vertical="top"/>
    </xf>
    <xf numFmtId="0" fontId="8" fillId="3" borderId="0" xfId="0" applyFont="1" applyFill="1" applyAlignment="1">
      <alignment vertical="top"/>
    </xf>
    <xf numFmtId="0" fontId="9" fillId="3" borderId="0" xfId="0" applyFont="1" applyFill="1" applyAlignment="1">
      <alignment vertical="top"/>
    </xf>
    <xf numFmtId="0" fontId="6" fillId="3" borderId="0" xfId="0" applyFont="1" applyFill="1" applyAlignment="1">
      <alignment vertical="top" wrapText="1"/>
    </xf>
    <xf numFmtId="0" fontId="2" fillId="3" borderId="0" xfId="0" applyFont="1" applyFill="1" applyAlignment="1">
      <alignment vertical="top" wrapText="1"/>
    </xf>
    <xf numFmtId="0" fontId="13" fillId="4" borderId="0" xfId="0" applyFont="1" applyFill="1"/>
    <xf numFmtId="0" fontId="14" fillId="4" borderId="0" xfId="0" applyFont="1" applyFill="1"/>
    <xf numFmtId="0" fontId="6" fillId="0" borderId="0" xfId="0" applyFont="1"/>
    <xf numFmtId="164" fontId="6" fillId="5" borderId="0" xfId="1" applyNumberFormat="1" applyFont="1" applyFill="1" applyAlignment="1">
      <alignment horizontal="right"/>
    </xf>
    <xf numFmtId="164" fontId="6" fillId="0" borderId="0" xfId="1" applyNumberFormat="1" applyFont="1" applyAlignment="1">
      <alignment horizontal="right"/>
    </xf>
    <xf numFmtId="0" fontId="6" fillId="0" borderId="0" xfId="0" applyFont="1" applyFill="1"/>
    <xf numFmtId="0" fontId="13" fillId="0" borderId="0" xfId="0" applyFont="1" applyFill="1"/>
    <xf numFmtId="43" fontId="6" fillId="0" borderId="0" xfId="1" applyFont="1"/>
    <xf numFmtId="43" fontId="6" fillId="0" borderId="0" xfId="0" applyNumberFormat="1" applyFont="1"/>
    <xf numFmtId="0" fontId="12" fillId="0" borderId="0" xfId="0" applyFont="1"/>
    <xf numFmtId="0" fontId="15" fillId="0" borderId="0" xfId="0" applyFont="1"/>
    <xf numFmtId="0" fontId="16" fillId="3" borderId="0" xfId="0" applyFont="1" applyFill="1" applyAlignment="1">
      <alignment vertical="top"/>
    </xf>
    <xf numFmtId="0" fontId="17" fillId="3"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2" borderId="0" xfId="0" applyFont="1" applyFill="1" applyAlignment="1">
      <alignment vertical="top"/>
    </xf>
    <xf numFmtId="0" fontId="6" fillId="5" borderId="0" xfId="0" applyFont="1" applyFill="1"/>
    <xf numFmtId="164" fontId="12" fillId="0" borderId="0" xfId="1" applyNumberFormat="1" applyFont="1"/>
    <xf numFmtId="164" fontId="6" fillId="0" borderId="0" xfId="1" applyNumberFormat="1" applyFont="1"/>
    <xf numFmtId="164" fontId="13" fillId="4" borderId="0" xfId="1" applyNumberFormat="1" applyFont="1" applyFill="1"/>
    <xf numFmtId="164" fontId="6" fillId="5" borderId="0" xfId="1" applyNumberFormat="1" applyFont="1" applyFill="1"/>
    <xf numFmtId="0" fontId="6" fillId="0" borderId="0" xfId="0" applyFont="1" applyAlignment="1">
      <alignment horizontal="left"/>
    </xf>
    <xf numFmtId="10" fontId="6" fillId="5" borderId="0" xfId="2" applyNumberFormat="1" applyFont="1" applyFill="1"/>
    <xf numFmtId="164" fontId="6" fillId="0" borderId="0" xfId="1" applyNumberFormat="1" applyFont="1" applyFill="1"/>
    <xf numFmtId="0" fontId="6" fillId="0" borderId="0" xfId="0" applyFont="1" applyFill="1" applyAlignment="1">
      <alignment horizontal="left" indent="1"/>
    </xf>
    <xf numFmtId="10" fontId="6" fillId="0" borderId="0" xfId="2" applyNumberFormat="1" applyFont="1"/>
    <xf numFmtId="164" fontId="6" fillId="0" borderId="0" xfId="2" applyNumberFormat="1" applyFont="1"/>
    <xf numFmtId="43" fontId="6" fillId="5" borderId="0" xfId="1" applyNumberFormat="1" applyFont="1" applyFill="1"/>
    <xf numFmtId="0" fontId="15" fillId="0" borderId="0" xfId="0" applyFont="1" applyAlignment="1">
      <alignment horizontal="left" indent="1"/>
    </xf>
    <xf numFmtId="43" fontId="15" fillId="0" borderId="0" xfId="1" applyNumberFormat="1" applyFont="1"/>
    <xf numFmtId="0" fontId="10" fillId="3" borderId="0" xfId="0" applyFont="1" applyFill="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center"/>
    </xf>
  </cellXfs>
  <cellStyles count="5">
    <cellStyle name="Comma" xfId="1" builtinId="3"/>
    <cellStyle name="Normal" xfId="0" builtinId="0"/>
    <cellStyle name="Normal 2" xfId="3"/>
    <cellStyle name="Normal 3" xfId="4"/>
    <cellStyle name="Percent" xfId="2" builtinId="5"/>
  </cellStyles>
  <dxfs count="19">
    <dxf>
      <font>
        <color theme="0" tint="-0.34998626667073579"/>
      </font>
    </dxf>
    <dxf>
      <font>
        <color theme="0" tint="-0.34998626667073579"/>
      </font>
    </dxf>
    <dxf>
      <font>
        <color theme="0" tint="-0.34998626667073579"/>
      </font>
    </dxf>
    <dxf>
      <font>
        <color theme="0" tint="-0.34998626667073579"/>
      </font>
    </dxf>
    <dxf>
      <font>
        <color theme="0" tint="-0.24994659260841701"/>
      </font>
    </dxf>
    <dxf>
      <font>
        <color theme="0" tint="-0.24994659260841701"/>
      </font>
    </dxf>
    <dxf>
      <font>
        <color theme="0" tint="-0.34998626667073579"/>
      </font>
    </dxf>
    <dxf>
      <font>
        <color theme="0" tint="-0.34998626667073579"/>
      </font>
    </dxf>
    <dxf>
      <font>
        <color theme="0" tint="-0.34998626667073579"/>
      </font>
    </dxf>
    <dxf>
      <font>
        <color theme="0" tint="-0.34998626667073579"/>
      </font>
    </dxf>
    <dxf>
      <font>
        <color theme="0" tint="-0.24994659260841701"/>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en-US"/>
        </a:p>
      </c:txPr>
    </c:title>
    <c:autoTitleDeleted val="0"/>
    <c:plotArea>
      <c:layout/>
      <c:lineChart>
        <c:grouping val="standard"/>
        <c:varyColors val="0"/>
        <c:ser>
          <c:idx val="0"/>
          <c:order val="0"/>
          <c:tx>
            <c:strRef>
              <c:f>Tariffs!$A$33</c:f>
              <c:strCache>
                <c:ptCount val="1"/>
                <c:pt idx="0">
                  <c:v>Cost recovery tariff (nominal)</c:v>
                </c:pt>
              </c:strCache>
            </c:strRef>
          </c:tx>
          <c:marker>
            <c:symbol val="none"/>
          </c:marker>
          <c:cat>
            <c:numRef>
              <c:f>Tariffs!$D$3:$AD$3</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Tariffs!$D$33:$AD$33</c:f>
              <c:numCache>
                <c:formatCode>_(* #,##0.00_);_(* \(#,##0.00\);_(* "-"??_);_(@_)</c:formatCode>
                <c:ptCount val="26"/>
                <c:pt idx="0">
                  <c:v>0.22637317387728123</c:v>
                </c:pt>
                <c:pt idx="1">
                  <c:v>0.23542810083237251</c:v>
                </c:pt>
                <c:pt idx="2">
                  <c:v>0.2448452248656674</c:v>
                </c:pt>
                <c:pt idx="3">
                  <c:v>0.25463903386029413</c:v>
                </c:pt>
                <c:pt idx="4">
                  <c:v>0.26482459521470592</c:v>
                </c:pt>
                <c:pt idx="5">
                  <c:v>0.22479106419086911</c:v>
                </c:pt>
                <c:pt idx="6">
                  <c:v>0.23378270675850391</c:v>
                </c:pt>
                <c:pt idx="7">
                  <c:v>0.24313401502884405</c:v>
                </c:pt>
                <c:pt idx="8">
                  <c:v>0.25285937562999783</c:v>
                </c:pt>
                <c:pt idx="9">
                  <c:v>0.26297375065519774</c:v>
                </c:pt>
                <c:pt idx="10">
                  <c:v>0.2266811209377316</c:v>
                </c:pt>
                <c:pt idx="11">
                  <c:v>0.23574836577524089</c:v>
                </c:pt>
                <c:pt idx="12">
                  <c:v>0.24517830040625052</c:v>
                </c:pt>
                <c:pt idx="13">
                  <c:v>0.25498543242250055</c:v>
                </c:pt>
                <c:pt idx="14">
                  <c:v>0.26518484971940054</c:v>
                </c:pt>
                <c:pt idx="15">
                  <c:v>0.23186206645608146</c:v>
                </c:pt>
                <c:pt idx="16">
                  <c:v>0.24113654911432472</c:v>
                </c:pt>
                <c:pt idx="17">
                  <c:v>0.25078201107889769</c:v>
                </c:pt>
                <c:pt idx="18">
                  <c:v>0.26081329152205363</c:v>
                </c:pt>
                <c:pt idx="19">
                  <c:v>0.27124582318293577</c:v>
                </c:pt>
                <c:pt idx="20">
                  <c:v>0.24021300270443821</c:v>
                </c:pt>
                <c:pt idx="21">
                  <c:v>0.24982152281261574</c:v>
                </c:pt>
                <c:pt idx="22">
                  <c:v>0.25981438372512039</c:v>
                </c:pt>
                <c:pt idx="23">
                  <c:v>0.27020695907412523</c:v>
                </c:pt>
                <c:pt idx="24">
                  <c:v>0.28101523743709028</c:v>
                </c:pt>
                <c:pt idx="25">
                  <c:v>0.26479837523456684</c:v>
                </c:pt>
              </c:numCache>
            </c:numRef>
          </c:val>
          <c:smooth val="0"/>
        </c:ser>
        <c:dLbls>
          <c:showLegendKey val="0"/>
          <c:showVal val="0"/>
          <c:showCatName val="0"/>
          <c:showSerName val="0"/>
          <c:showPercent val="0"/>
          <c:showBubbleSize val="0"/>
        </c:dLbls>
        <c:marker val="1"/>
        <c:smooth val="0"/>
        <c:axId val="178437504"/>
        <c:axId val="178660480"/>
      </c:lineChart>
      <c:catAx>
        <c:axId val="178437504"/>
        <c:scaling>
          <c:orientation val="minMax"/>
        </c:scaling>
        <c:delete val="0"/>
        <c:axPos val="b"/>
        <c:numFmt formatCode="General" sourceLinked="1"/>
        <c:majorTickMark val="out"/>
        <c:minorTickMark val="none"/>
        <c:tickLblPos val="nextTo"/>
        <c:crossAx val="178660480"/>
        <c:crosses val="autoZero"/>
        <c:auto val="1"/>
        <c:lblAlgn val="ctr"/>
        <c:lblOffset val="100"/>
        <c:noMultiLvlLbl val="0"/>
      </c:catAx>
      <c:valAx>
        <c:axId val="178660480"/>
        <c:scaling>
          <c:orientation val="minMax"/>
        </c:scaling>
        <c:delete val="0"/>
        <c:axPos val="l"/>
        <c:majorGridlines/>
        <c:title>
          <c:tx>
            <c:rich>
              <a:bodyPr rot="-5400000" vert="horz"/>
              <a:lstStyle/>
              <a:p>
                <a:pPr>
                  <a:defRPr b="0"/>
                </a:pPr>
                <a:r>
                  <a:rPr lang="en-GB" b="0"/>
                  <a:t>$/kWh</a:t>
                </a:r>
              </a:p>
            </c:rich>
          </c:tx>
          <c:layout>
            <c:manualLayout>
              <c:xMode val="edge"/>
              <c:yMode val="edge"/>
              <c:x val="1.6666666666666666E-2"/>
              <c:y val="0.44288422280548267"/>
            </c:manualLayout>
          </c:layout>
          <c:overlay val="0"/>
        </c:title>
        <c:numFmt formatCode="_(* #,##0.00_);_(* \(#,##0.00\);_(* &quot;-&quot;??_);_(@_)" sourceLinked="1"/>
        <c:majorTickMark val="out"/>
        <c:minorTickMark val="none"/>
        <c:tickLblPos val="nextTo"/>
        <c:crossAx val="178437504"/>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en-US"/>
        </a:p>
      </c:txPr>
    </c:title>
    <c:autoTitleDeleted val="0"/>
    <c:plotArea>
      <c:layout/>
      <c:lineChart>
        <c:grouping val="standard"/>
        <c:varyColors val="0"/>
        <c:ser>
          <c:idx val="0"/>
          <c:order val="0"/>
          <c:tx>
            <c:strRef>
              <c:f>Tariffs!$A$31</c:f>
              <c:strCache>
                <c:ptCount val="1"/>
                <c:pt idx="0">
                  <c:v>Cost recovery tariff (real)</c:v>
                </c:pt>
              </c:strCache>
            </c:strRef>
          </c:tx>
          <c:marker>
            <c:symbol val="none"/>
          </c:marker>
          <c:cat>
            <c:numRef>
              <c:f>Tariffs!$D$3:$AD$3</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Tariffs!$D$31:$AD$31</c:f>
              <c:numCache>
                <c:formatCode>_(* #,##0.00_);_(* \(#,##0.00\);_(* "-"??_);_(@_)</c:formatCode>
                <c:ptCount val="26"/>
                <c:pt idx="0">
                  <c:v>0.21766651334353965</c:v>
                </c:pt>
                <c:pt idx="1">
                  <c:v>0.21766651334353965</c:v>
                </c:pt>
                <c:pt idx="2">
                  <c:v>0.21766651334353965</c:v>
                </c:pt>
                <c:pt idx="3">
                  <c:v>0.21766651334353965</c:v>
                </c:pt>
                <c:pt idx="4">
                  <c:v>0.21766651334353965</c:v>
                </c:pt>
                <c:pt idx="5">
                  <c:v>0.17765564328438146</c:v>
                </c:pt>
                <c:pt idx="6">
                  <c:v>0.17765564328438146</c:v>
                </c:pt>
                <c:pt idx="7">
                  <c:v>0.17765564328438146</c:v>
                </c:pt>
                <c:pt idx="8">
                  <c:v>0.17765564328438146</c:v>
                </c:pt>
                <c:pt idx="9">
                  <c:v>0.17765564328438146</c:v>
                </c:pt>
                <c:pt idx="10">
                  <c:v>0.14724773370653746</c:v>
                </c:pt>
                <c:pt idx="11">
                  <c:v>0.14724773370653746</c:v>
                </c:pt>
                <c:pt idx="12">
                  <c:v>0.14724773370653746</c:v>
                </c:pt>
                <c:pt idx="13">
                  <c:v>0.14724773370653746</c:v>
                </c:pt>
                <c:pt idx="14">
                  <c:v>0.14724773370653746</c:v>
                </c:pt>
                <c:pt idx="15">
                  <c:v>0.12379305291231571</c:v>
                </c:pt>
                <c:pt idx="16">
                  <c:v>0.12379305291231571</c:v>
                </c:pt>
                <c:pt idx="17">
                  <c:v>0.12379305291231571</c:v>
                </c:pt>
                <c:pt idx="18">
                  <c:v>0.12379305291231571</c:v>
                </c:pt>
                <c:pt idx="19">
                  <c:v>0.12379305291231571</c:v>
                </c:pt>
                <c:pt idx="20">
                  <c:v>0.1054135372520397</c:v>
                </c:pt>
                <c:pt idx="21">
                  <c:v>0.1054135372520397</c:v>
                </c:pt>
                <c:pt idx="22">
                  <c:v>0.1054135372520397</c:v>
                </c:pt>
                <c:pt idx="23">
                  <c:v>0.1054135372520397</c:v>
                </c:pt>
                <c:pt idx="24">
                  <c:v>0.1054135372520397</c:v>
                </c:pt>
                <c:pt idx="25">
                  <c:v>9.5509922846188408E-2</c:v>
                </c:pt>
              </c:numCache>
            </c:numRef>
          </c:val>
          <c:smooth val="0"/>
        </c:ser>
        <c:dLbls>
          <c:showLegendKey val="0"/>
          <c:showVal val="0"/>
          <c:showCatName val="0"/>
          <c:showSerName val="0"/>
          <c:showPercent val="0"/>
          <c:showBubbleSize val="0"/>
        </c:dLbls>
        <c:marker val="1"/>
        <c:smooth val="0"/>
        <c:axId val="178394240"/>
        <c:axId val="178395776"/>
      </c:lineChart>
      <c:catAx>
        <c:axId val="178394240"/>
        <c:scaling>
          <c:orientation val="minMax"/>
        </c:scaling>
        <c:delete val="0"/>
        <c:axPos val="b"/>
        <c:numFmt formatCode="General" sourceLinked="1"/>
        <c:majorTickMark val="out"/>
        <c:minorTickMark val="none"/>
        <c:tickLblPos val="nextTo"/>
        <c:crossAx val="178395776"/>
        <c:crosses val="autoZero"/>
        <c:auto val="1"/>
        <c:lblAlgn val="ctr"/>
        <c:lblOffset val="100"/>
        <c:noMultiLvlLbl val="0"/>
      </c:catAx>
      <c:valAx>
        <c:axId val="178395776"/>
        <c:scaling>
          <c:orientation val="minMax"/>
          <c:min val="0"/>
        </c:scaling>
        <c:delete val="0"/>
        <c:axPos val="l"/>
        <c:majorGridlines/>
        <c:title>
          <c:tx>
            <c:rich>
              <a:bodyPr rot="-5400000" vert="horz"/>
              <a:lstStyle/>
              <a:p>
                <a:pPr>
                  <a:defRPr b="0"/>
                </a:pPr>
                <a:r>
                  <a:rPr lang="en-GB" b="0"/>
                  <a:t>$/kWh</a:t>
                </a:r>
              </a:p>
            </c:rich>
          </c:tx>
          <c:layout>
            <c:manualLayout>
              <c:xMode val="edge"/>
              <c:yMode val="edge"/>
              <c:x val="1.6666666666666666E-2"/>
              <c:y val="0.44288422280548267"/>
            </c:manualLayout>
          </c:layout>
          <c:overlay val="0"/>
        </c:title>
        <c:numFmt formatCode="_(* #,##0.00_);_(* \(#,##0.00\);_(* &quot;-&quot;??_);_(@_)" sourceLinked="1"/>
        <c:majorTickMark val="out"/>
        <c:minorTickMark val="none"/>
        <c:tickLblPos val="nextTo"/>
        <c:crossAx val="17839424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en-US"/>
        </a:p>
      </c:txPr>
    </c:title>
    <c:autoTitleDeleted val="0"/>
    <c:plotArea>
      <c:layout/>
      <c:lineChart>
        <c:grouping val="standard"/>
        <c:varyColors val="0"/>
        <c:ser>
          <c:idx val="0"/>
          <c:order val="0"/>
          <c:tx>
            <c:strRef>
              <c:f>Tariffs!$A$39</c:f>
              <c:strCache>
                <c:ptCount val="1"/>
                <c:pt idx="0">
                  <c:v>Adjusted tariff (nominal)</c:v>
                </c:pt>
              </c:strCache>
            </c:strRef>
          </c:tx>
          <c:marker>
            <c:symbol val="none"/>
          </c:marker>
          <c:cat>
            <c:numRef>
              <c:f>Tariffs!$D$3:$AD$3</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Tariffs!$D$39:$AD$39</c:f>
              <c:numCache>
                <c:formatCode>_(* #,##0.00_);_(* \(#,##0.00\);_(* "-"??_);_(@_)</c:formatCode>
                <c:ptCount val="26"/>
                <c:pt idx="0">
                  <c:v>0.22637317387728123</c:v>
                </c:pt>
                <c:pt idx="1">
                  <c:v>0.23542810083237251</c:v>
                </c:pt>
                <c:pt idx="2">
                  <c:v>0.2448452248656674</c:v>
                </c:pt>
                <c:pt idx="3">
                  <c:v>0.25463903386029413</c:v>
                </c:pt>
                <c:pt idx="4">
                  <c:v>0.26482459521470592</c:v>
                </c:pt>
                <c:pt idx="5">
                  <c:v>0.22479106419086911</c:v>
                </c:pt>
                <c:pt idx="6">
                  <c:v>0.23378270675850391</c:v>
                </c:pt>
                <c:pt idx="7">
                  <c:v>0.24313401502884405</c:v>
                </c:pt>
                <c:pt idx="8">
                  <c:v>0.25285937562999783</c:v>
                </c:pt>
                <c:pt idx="9">
                  <c:v>0.26297375065519774</c:v>
                </c:pt>
                <c:pt idx="10">
                  <c:v>0.2266811209377316</c:v>
                </c:pt>
                <c:pt idx="11">
                  <c:v>0.23574836577524089</c:v>
                </c:pt>
                <c:pt idx="12">
                  <c:v>0.24517830040625052</c:v>
                </c:pt>
                <c:pt idx="13">
                  <c:v>0.25498543242250055</c:v>
                </c:pt>
                <c:pt idx="14">
                  <c:v>0.26518484971940054</c:v>
                </c:pt>
                <c:pt idx="15">
                  <c:v>0.23186206645608146</c:v>
                </c:pt>
                <c:pt idx="16">
                  <c:v>0.24113654911432472</c:v>
                </c:pt>
                <c:pt idx="17">
                  <c:v>0.25078201107889769</c:v>
                </c:pt>
                <c:pt idx="18">
                  <c:v>0.26081329152205363</c:v>
                </c:pt>
                <c:pt idx="19">
                  <c:v>0.27124582318293577</c:v>
                </c:pt>
                <c:pt idx="20">
                  <c:v>0.24021300270443821</c:v>
                </c:pt>
                <c:pt idx="21">
                  <c:v>0.24982152281261574</c:v>
                </c:pt>
                <c:pt idx="22">
                  <c:v>0.25981438372512039</c:v>
                </c:pt>
                <c:pt idx="23">
                  <c:v>0.27020695907412523</c:v>
                </c:pt>
                <c:pt idx="24">
                  <c:v>0.28101523743709028</c:v>
                </c:pt>
                <c:pt idx="25">
                  <c:v>0.26479837523456684</c:v>
                </c:pt>
              </c:numCache>
            </c:numRef>
          </c:val>
          <c:smooth val="0"/>
        </c:ser>
        <c:dLbls>
          <c:showLegendKey val="0"/>
          <c:showVal val="0"/>
          <c:showCatName val="0"/>
          <c:showSerName val="0"/>
          <c:showPercent val="0"/>
          <c:showBubbleSize val="0"/>
        </c:dLbls>
        <c:marker val="1"/>
        <c:smooth val="0"/>
        <c:axId val="178712960"/>
        <c:axId val="178714496"/>
      </c:lineChart>
      <c:catAx>
        <c:axId val="178712960"/>
        <c:scaling>
          <c:orientation val="minMax"/>
        </c:scaling>
        <c:delete val="0"/>
        <c:axPos val="b"/>
        <c:numFmt formatCode="General" sourceLinked="1"/>
        <c:majorTickMark val="out"/>
        <c:minorTickMark val="none"/>
        <c:tickLblPos val="nextTo"/>
        <c:crossAx val="178714496"/>
        <c:crosses val="autoZero"/>
        <c:auto val="1"/>
        <c:lblAlgn val="ctr"/>
        <c:lblOffset val="100"/>
        <c:noMultiLvlLbl val="0"/>
      </c:catAx>
      <c:valAx>
        <c:axId val="178714496"/>
        <c:scaling>
          <c:orientation val="minMax"/>
          <c:min val="0"/>
        </c:scaling>
        <c:delete val="0"/>
        <c:axPos val="l"/>
        <c:majorGridlines/>
        <c:title>
          <c:tx>
            <c:rich>
              <a:bodyPr rot="-5400000" vert="horz"/>
              <a:lstStyle/>
              <a:p>
                <a:pPr>
                  <a:defRPr b="0"/>
                </a:pPr>
                <a:r>
                  <a:rPr lang="en-GB" b="0"/>
                  <a:t>$/kWh</a:t>
                </a:r>
              </a:p>
            </c:rich>
          </c:tx>
          <c:layout>
            <c:manualLayout>
              <c:xMode val="edge"/>
              <c:yMode val="edge"/>
              <c:x val="1.6666666666666666E-2"/>
              <c:y val="0.44288422280548267"/>
            </c:manualLayout>
          </c:layout>
          <c:overlay val="0"/>
        </c:title>
        <c:numFmt formatCode="_(* #,##0.00_);_(* \(#,##0.00\);_(* &quot;-&quot;??_);_(@_)" sourceLinked="1"/>
        <c:majorTickMark val="out"/>
        <c:minorTickMark val="none"/>
        <c:tickLblPos val="nextTo"/>
        <c:crossAx val="178712960"/>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en-US"/>
        </a:p>
      </c:txPr>
    </c:title>
    <c:autoTitleDeleted val="0"/>
    <c:plotArea>
      <c:layout/>
      <c:lineChart>
        <c:grouping val="standard"/>
        <c:varyColors val="0"/>
        <c:ser>
          <c:idx val="0"/>
          <c:order val="0"/>
          <c:tx>
            <c:strRef>
              <c:f>Tariffs!$A$38</c:f>
              <c:strCache>
                <c:ptCount val="1"/>
                <c:pt idx="0">
                  <c:v>Adjusted tariff (real)</c:v>
                </c:pt>
              </c:strCache>
            </c:strRef>
          </c:tx>
          <c:marker>
            <c:symbol val="none"/>
          </c:marker>
          <c:cat>
            <c:numRef>
              <c:f>Tariffs!$D$3:$AD$3</c:f>
              <c:numCache>
                <c:formatCode>General</c:formatCode>
                <c:ptCount val="26"/>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numCache>
            </c:numRef>
          </c:cat>
          <c:val>
            <c:numRef>
              <c:f>Tariffs!$D$38:$AD$38</c:f>
              <c:numCache>
                <c:formatCode>_(* #,##0.00_);_(* \(#,##0.00\);_(* "-"??_);_(@_)</c:formatCode>
                <c:ptCount val="26"/>
                <c:pt idx="0">
                  <c:v>0.21766651334353965</c:v>
                </c:pt>
                <c:pt idx="1">
                  <c:v>0.21766651334353965</c:v>
                </c:pt>
                <c:pt idx="2">
                  <c:v>0.21766651334353965</c:v>
                </c:pt>
                <c:pt idx="3">
                  <c:v>0.21766651334353965</c:v>
                </c:pt>
                <c:pt idx="4">
                  <c:v>0.21766651334353965</c:v>
                </c:pt>
                <c:pt idx="5">
                  <c:v>0.17765564328438146</c:v>
                </c:pt>
                <c:pt idx="6">
                  <c:v>0.17765564328438146</c:v>
                </c:pt>
                <c:pt idx="7">
                  <c:v>0.17765564328438146</c:v>
                </c:pt>
                <c:pt idx="8">
                  <c:v>0.17765564328438146</c:v>
                </c:pt>
                <c:pt idx="9">
                  <c:v>0.17765564328438146</c:v>
                </c:pt>
                <c:pt idx="10">
                  <c:v>0.14724773370653746</c:v>
                </c:pt>
                <c:pt idx="11">
                  <c:v>0.14724773370653746</c:v>
                </c:pt>
                <c:pt idx="12">
                  <c:v>0.14724773370653746</c:v>
                </c:pt>
                <c:pt idx="13">
                  <c:v>0.14724773370653746</c:v>
                </c:pt>
                <c:pt idx="14">
                  <c:v>0.14724773370653746</c:v>
                </c:pt>
                <c:pt idx="15">
                  <c:v>0.12379305291231571</c:v>
                </c:pt>
                <c:pt idx="16">
                  <c:v>0.12379305291231571</c:v>
                </c:pt>
                <c:pt idx="17">
                  <c:v>0.12379305291231571</c:v>
                </c:pt>
                <c:pt idx="18">
                  <c:v>0.12379305291231571</c:v>
                </c:pt>
                <c:pt idx="19">
                  <c:v>0.12379305291231571</c:v>
                </c:pt>
                <c:pt idx="20">
                  <c:v>0.1054135372520397</c:v>
                </c:pt>
                <c:pt idx="21">
                  <c:v>0.1054135372520397</c:v>
                </c:pt>
                <c:pt idx="22">
                  <c:v>0.1054135372520397</c:v>
                </c:pt>
                <c:pt idx="23">
                  <c:v>0.1054135372520397</c:v>
                </c:pt>
                <c:pt idx="24">
                  <c:v>0.1054135372520397</c:v>
                </c:pt>
                <c:pt idx="25">
                  <c:v>9.5509922846188408E-2</c:v>
                </c:pt>
              </c:numCache>
            </c:numRef>
          </c:val>
          <c:smooth val="0"/>
        </c:ser>
        <c:dLbls>
          <c:showLegendKey val="0"/>
          <c:showVal val="0"/>
          <c:showCatName val="0"/>
          <c:showSerName val="0"/>
          <c:showPercent val="0"/>
          <c:showBubbleSize val="0"/>
        </c:dLbls>
        <c:marker val="1"/>
        <c:smooth val="0"/>
        <c:axId val="178931584"/>
        <c:axId val="178933120"/>
      </c:lineChart>
      <c:catAx>
        <c:axId val="178931584"/>
        <c:scaling>
          <c:orientation val="minMax"/>
        </c:scaling>
        <c:delete val="0"/>
        <c:axPos val="b"/>
        <c:numFmt formatCode="General" sourceLinked="1"/>
        <c:majorTickMark val="out"/>
        <c:minorTickMark val="none"/>
        <c:tickLblPos val="nextTo"/>
        <c:crossAx val="178933120"/>
        <c:crosses val="autoZero"/>
        <c:auto val="1"/>
        <c:lblAlgn val="ctr"/>
        <c:lblOffset val="100"/>
        <c:noMultiLvlLbl val="0"/>
      </c:catAx>
      <c:valAx>
        <c:axId val="178933120"/>
        <c:scaling>
          <c:orientation val="minMax"/>
          <c:min val="0"/>
        </c:scaling>
        <c:delete val="0"/>
        <c:axPos val="l"/>
        <c:majorGridlines/>
        <c:title>
          <c:tx>
            <c:rich>
              <a:bodyPr rot="-5400000" vert="horz"/>
              <a:lstStyle/>
              <a:p>
                <a:pPr>
                  <a:defRPr b="0"/>
                </a:pPr>
                <a:r>
                  <a:rPr lang="en-GB" b="0"/>
                  <a:t>$/kWh</a:t>
                </a:r>
              </a:p>
            </c:rich>
          </c:tx>
          <c:layout>
            <c:manualLayout>
              <c:xMode val="edge"/>
              <c:yMode val="edge"/>
              <c:x val="1.6666666666666666E-2"/>
              <c:y val="0.44288422280548267"/>
            </c:manualLayout>
          </c:layout>
          <c:overlay val="0"/>
        </c:title>
        <c:numFmt formatCode="_(* #,##0.00_);_(* \(#,##0.00\);_(* &quot;-&quot;??_);_(@_)" sourceLinked="1"/>
        <c:majorTickMark val="out"/>
        <c:minorTickMark val="none"/>
        <c:tickLblPos val="nextTo"/>
        <c:crossAx val="17893158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a:t>Cash flow analysis</a:t>
            </a:r>
          </a:p>
        </c:rich>
      </c:tx>
      <c:overlay val="0"/>
    </c:title>
    <c:autoTitleDeleted val="0"/>
    <c:plotArea>
      <c:layout/>
      <c:lineChart>
        <c:grouping val="standard"/>
        <c:varyColors val="0"/>
        <c:ser>
          <c:idx val="1"/>
          <c:order val="1"/>
          <c:tx>
            <c:strRef>
              <c:f>'Cash flow'!$A$29</c:f>
              <c:strCache>
                <c:ptCount val="1"/>
                <c:pt idx="0">
                  <c:v>Cash at End of Year</c:v>
                </c:pt>
              </c:strCache>
            </c:strRef>
          </c:tx>
          <c:marker>
            <c:symbol val="none"/>
          </c:marker>
          <c:dLbls>
            <c:dLbl>
              <c:idx val="10"/>
              <c:dLblPos val="l"/>
              <c:showLegendKey val="1"/>
              <c:showVal val="0"/>
              <c:showCatName val="0"/>
              <c:showSerName val="1"/>
              <c:showPercent val="0"/>
              <c:showBubbleSize val="0"/>
            </c:dLbl>
            <c:showLegendKey val="1"/>
            <c:showVal val="0"/>
            <c:showCatName val="0"/>
            <c:showSerName val="0"/>
            <c:showPercent val="0"/>
            <c:showBubbleSize val="0"/>
          </c:dLbls>
          <c:cat>
            <c:numRef>
              <c:f>'Cash flow'!$D$3:$N$3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'Cash flow'!$D$29:$N$29</c:f>
              <c:numCache>
                <c:formatCode>_-* #,##0_-;\-* #,##0_-;_-* "-"??_-;_-@_-</c:formatCode>
                <c:ptCount val="11"/>
                <c:pt idx="0">
                  <c:v>0</c:v>
                </c:pt>
                <c:pt idx="1">
                  <c:v>-509607.17552234419</c:v>
                </c:pt>
                <c:pt idx="2">
                  <c:v>-343537.34731644671</c:v>
                </c:pt>
                <c:pt idx="3">
                  <c:v>526381.59044436924</c:v>
                </c:pt>
                <c:pt idx="4">
                  <c:v>2130231.8914610455</c:v>
                </c:pt>
                <c:pt idx="5">
                  <c:v>4500129.985653135</c:v>
                </c:pt>
                <c:pt idx="6">
                  <c:v>5155049.0219076211</c:v>
                </c:pt>
                <c:pt idx="7">
                  <c:v>6493956.3183992654</c:v>
                </c:pt>
                <c:pt idx="8">
                  <c:v>8546597.8582638018</c:v>
                </c:pt>
                <c:pt idx="9">
                  <c:v>11344768.206368154</c:v>
                </c:pt>
                <c:pt idx="10">
                  <c:v>14922444.664117942</c:v>
                </c:pt>
              </c:numCache>
            </c:numRef>
          </c:val>
          <c:smooth val="0"/>
        </c:ser>
        <c:dLbls>
          <c:showLegendKey val="0"/>
          <c:showVal val="0"/>
          <c:showCatName val="0"/>
          <c:showSerName val="0"/>
          <c:showPercent val="0"/>
          <c:showBubbleSize val="0"/>
        </c:dLbls>
        <c:marker val="1"/>
        <c:smooth val="0"/>
        <c:axId val="178987008"/>
        <c:axId val="178988544"/>
      </c:lineChart>
      <c:lineChart>
        <c:grouping val="standard"/>
        <c:varyColors val="0"/>
        <c:ser>
          <c:idx val="0"/>
          <c:order val="0"/>
          <c:tx>
            <c:strRef>
              <c:f>'Cash flow'!$A$33</c:f>
              <c:strCache>
                <c:ptCount val="1"/>
                <c:pt idx="0">
                  <c:v>Debt service coverage ratio</c:v>
                </c:pt>
              </c:strCache>
            </c:strRef>
          </c:tx>
          <c:marker>
            <c:symbol val="none"/>
          </c:marker>
          <c:dLbls>
            <c:dLbl>
              <c:idx val="1"/>
              <c:layout>
                <c:manualLayout>
                  <c:x val="-0.10728338773168675"/>
                  <c:y val="-0.24941527460946714"/>
                </c:manualLayout>
              </c:layout>
              <c:dLblPos val="r"/>
              <c:showLegendKey val="1"/>
              <c:showVal val="0"/>
              <c:showCatName val="0"/>
              <c:showSerName val="1"/>
              <c:showPercent val="0"/>
              <c:showBubbleSize val="0"/>
            </c:dLbl>
            <c:showLegendKey val="0"/>
            <c:showVal val="0"/>
            <c:showCatName val="0"/>
            <c:showSerName val="0"/>
            <c:showPercent val="0"/>
            <c:showBubbleSize val="0"/>
          </c:dLbls>
          <c:cat>
            <c:numRef>
              <c:f>'Cash flow'!$D$3:$N$3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'Cash flow'!$D$33:$N$33</c:f>
              <c:numCache>
                <c:formatCode>_(* #,##0.00_);_(* \(#,##0.00\);_(* "-"??_);_(@_)</c:formatCode>
                <c:ptCount val="11"/>
                <c:pt idx="1">
                  <c:v>0.72213349208160083</c:v>
                </c:pt>
                <c:pt idx="2">
                  <c:v>1.09055061516134</c:v>
                </c:pt>
                <c:pt idx="3">
                  <c:v>1.4743287555947742</c:v>
                </c:pt>
                <c:pt idx="4">
                  <c:v>1.8745094334878278</c:v>
                </c:pt>
                <c:pt idx="5">
                  <c:v>2.292201796178893</c:v>
                </c:pt>
                <c:pt idx="6">
                  <c:v>1.3570987111529369</c:v>
                </c:pt>
                <c:pt idx="7">
                  <c:v>1.730047598959457</c:v>
                </c:pt>
                <c:pt idx="8">
                  <c:v>2.1192156705913501</c:v>
                </c:pt>
                <c:pt idx="9">
                  <c:v>2.5257199280830709</c:v>
                </c:pt>
                <c:pt idx="10">
                  <c:v>2.9507505222190771</c:v>
                </c:pt>
              </c:numCache>
            </c:numRef>
          </c:val>
          <c:smooth val="0"/>
        </c:ser>
        <c:dLbls>
          <c:showLegendKey val="0"/>
          <c:showVal val="0"/>
          <c:showCatName val="0"/>
          <c:showSerName val="0"/>
          <c:showPercent val="0"/>
          <c:showBubbleSize val="0"/>
        </c:dLbls>
        <c:marker val="1"/>
        <c:smooth val="0"/>
        <c:axId val="178992640"/>
        <c:axId val="178990464"/>
      </c:lineChart>
      <c:catAx>
        <c:axId val="178987008"/>
        <c:scaling>
          <c:orientation val="minMax"/>
        </c:scaling>
        <c:delete val="0"/>
        <c:axPos val="b"/>
        <c:numFmt formatCode="General" sourceLinked="1"/>
        <c:majorTickMark val="out"/>
        <c:minorTickMark val="none"/>
        <c:tickLblPos val="nextTo"/>
        <c:crossAx val="178988544"/>
        <c:crosses val="autoZero"/>
        <c:auto val="1"/>
        <c:lblAlgn val="ctr"/>
        <c:lblOffset val="100"/>
        <c:noMultiLvlLbl val="0"/>
      </c:catAx>
      <c:valAx>
        <c:axId val="178988544"/>
        <c:scaling>
          <c:orientation val="minMax"/>
        </c:scaling>
        <c:delete val="0"/>
        <c:axPos val="l"/>
        <c:majorGridlines/>
        <c:title>
          <c:tx>
            <c:rich>
              <a:bodyPr rot="-5400000" vert="horz"/>
              <a:lstStyle/>
              <a:p>
                <a:pPr>
                  <a:defRPr b="0"/>
                </a:pPr>
                <a:r>
                  <a:rPr lang="en-GB" b="0"/>
                  <a:t>Cash at end of</a:t>
                </a:r>
                <a:r>
                  <a:rPr lang="en-GB" b="0" baseline="0"/>
                  <a:t> year</a:t>
                </a:r>
                <a:endParaRPr lang="en-GB" b="0"/>
              </a:p>
            </c:rich>
          </c:tx>
          <c:layout>
            <c:manualLayout>
              <c:xMode val="edge"/>
              <c:yMode val="edge"/>
              <c:x val="1.6666593272592397E-2"/>
              <c:y val="0.30807655781093934"/>
            </c:manualLayout>
          </c:layout>
          <c:overlay val="0"/>
        </c:title>
        <c:numFmt formatCode="_-* #,##0_-;\-* #,##0_-;_-* &quot;-&quot;??_-;_-@_-" sourceLinked="1"/>
        <c:majorTickMark val="out"/>
        <c:minorTickMark val="none"/>
        <c:tickLblPos val="nextTo"/>
        <c:crossAx val="178987008"/>
        <c:crosses val="autoZero"/>
        <c:crossBetween val="between"/>
      </c:valAx>
      <c:valAx>
        <c:axId val="178990464"/>
        <c:scaling>
          <c:orientation val="minMax"/>
        </c:scaling>
        <c:delete val="0"/>
        <c:axPos val="r"/>
        <c:title>
          <c:tx>
            <c:rich>
              <a:bodyPr rot="-5400000" vert="horz"/>
              <a:lstStyle/>
              <a:p>
                <a:pPr>
                  <a:defRPr b="0"/>
                </a:pPr>
                <a:r>
                  <a:rPr lang="en-GB" b="0"/>
                  <a:t>Debt service coverage ratio</a:t>
                </a:r>
              </a:p>
            </c:rich>
          </c:tx>
          <c:overlay val="0"/>
        </c:title>
        <c:numFmt formatCode="_(* #,##0.00_);_(* \(#,##0.00\);_(* &quot;-&quot;??_);_(@_)" sourceLinked="1"/>
        <c:majorTickMark val="out"/>
        <c:minorTickMark val="none"/>
        <c:tickLblPos val="nextTo"/>
        <c:crossAx val="178992640"/>
        <c:crosses val="max"/>
        <c:crossBetween val="between"/>
      </c:valAx>
      <c:catAx>
        <c:axId val="178992640"/>
        <c:scaling>
          <c:orientation val="minMax"/>
        </c:scaling>
        <c:delete val="1"/>
        <c:axPos val="b"/>
        <c:numFmt formatCode="General" sourceLinked="1"/>
        <c:majorTickMark val="out"/>
        <c:minorTickMark val="none"/>
        <c:tickLblPos val="nextTo"/>
        <c:crossAx val="178990464"/>
        <c:crosses val="autoZero"/>
        <c:auto val="1"/>
        <c:lblAlgn val="ctr"/>
        <c:lblOffset val="100"/>
        <c:noMultiLvlLbl val="0"/>
      </c:cat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xdr:row>
      <xdr:rowOff>85724</xdr:rowOff>
    </xdr:from>
    <xdr:to>
      <xdr:col>1</xdr:col>
      <xdr:colOff>1470025</xdr:colOff>
      <xdr:row>5</xdr:row>
      <xdr:rowOff>104774</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47649"/>
          <a:ext cx="1336675" cy="942975"/>
        </a:xfrm>
        <a:prstGeom prst="rect">
          <a:avLst/>
        </a:prstGeom>
      </xdr:spPr>
    </xdr:pic>
    <xdr:clientData/>
  </xdr:twoCellAnchor>
  <xdr:twoCellAnchor>
    <xdr:from>
      <xdr:col>2</xdr:col>
      <xdr:colOff>0</xdr:colOff>
      <xdr:row>7</xdr:row>
      <xdr:rowOff>0</xdr:rowOff>
    </xdr:from>
    <xdr:to>
      <xdr:col>4</xdr:col>
      <xdr:colOff>249600</xdr:colOff>
      <xdr:row>10</xdr:row>
      <xdr:rowOff>76279</xdr:rowOff>
    </xdr:to>
    <xdr:pic>
      <xdr:nvPicPr>
        <xdr:cNvPr id="3" name="Picture 1" descr="C:\Users\Peter Robinson\AppData\Local\Microsoft\Windows\Temporary Internet Files\Content.Outlook\WP0ZGMA8\RERA Logo.jpe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90700" y="1828800"/>
          <a:ext cx="1468800" cy="59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7</xdr:row>
      <xdr:rowOff>0</xdr:rowOff>
    </xdr:from>
    <xdr:to>
      <xdr:col>7</xdr:col>
      <xdr:colOff>249600</xdr:colOff>
      <xdr:row>10</xdr:row>
      <xdr:rowOff>122907</xdr:rowOff>
    </xdr:to>
    <xdr:pic>
      <xdr:nvPicPr>
        <xdr:cNvPr id="4" name="Grafik 1" descr="euei_cd_logo_rgb.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19500" y="1828800"/>
          <a:ext cx="1468800" cy="637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7</xdr:row>
      <xdr:rowOff>0</xdr:rowOff>
    </xdr:from>
    <xdr:to>
      <xdr:col>10</xdr:col>
      <xdr:colOff>249600</xdr:colOff>
      <xdr:row>11</xdr:row>
      <xdr:rowOff>169631</xdr:rowOff>
    </xdr:to>
    <xdr:pic>
      <xdr:nvPicPr>
        <xdr:cNvPr id="5" name="Grafik 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48300" y="1828800"/>
          <a:ext cx="1468800" cy="845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338138</xdr:colOff>
      <xdr:row>43</xdr:row>
      <xdr:rowOff>95250</xdr:rowOff>
    </xdr:from>
    <xdr:to>
      <xdr:col>8</xdr:col>
      <xdr:colOff>676275</xdr:colOff>
      <xdr:row>62</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800100</xdr:colOff>
      <xdr:row>43</xdr:row>
      <xdr:rowOff>104775</xdr:rowOff>
    </xdr:from>
    <xdr:to>
      <xdr:col>15</xdr:col>
      <xdr:colOff>61912</xdr:colOff>
      <xdr:row>62</xdr:row>
      <xdr:rowOff>71438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314325</xdr:colOff>
      <xdr:row>63</xdr:row>
      <xdr:rowOff>19050</xdr:rowOff>
    </xdr:from>
    <xdr:to>
      <xdr:col>8</xdr:col>
      <xdr:colOff>653400</xdr:colOff>
      <xdr:row>81</xdr:row>
      <xdr:rowOff>119063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752475</xdr:colOff>
      <xdr:row>63</xdr:row>
      <xdr:rowOff>19050</xdr:rowOff>
    </xdr:from>
    <xdr:to>
      <xdr:col>15</xdr:col>
      <xdr:colOff>15225</xdr:colOff>
      <xdr:row>81</xdr:row>
      <xdr:rowOff>119063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34</xdr:row>
      <xdr:rowOff>0</xdr:rowOff>
    </xdr:from>
    <xdr:to>
      <xdr:col>9</xdr:col>
      <xdr:colOff>80962</xdr:colOff>
      <xdr:row>52</xdr:row>
      <xdr:rowOff>100013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ichard/Dropbox/SADC%20RERA%20minigrids/Tariffs%20workshop/Presentations/Retail%20Tariff%20Tool%20-%20Case%20Study%20-%20Solution%20(Comprehensi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hard/Google%20Drive/Docs%20-%20Work/ECA/Projects%20worked%20on/Kenya%20RES%20386/Docs/Richard%20Work%20in%20Progress/FiT%20Model%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puts"/>
      <sheetName val="Calculations"/>
      <sheetName val="Tariffs"/>
      <sheetName val="Cash flow"/>
    </sheetNames>
    <definedNames>
      <definedName name="Title_Project" sheetId="0"/>
      <definedName name="Title_Project" sheetId="0"/>
      <definedName name="Title_Project" sheetId="0"/>
      <definedName name="Title_Project" sheetId="0"/>
    </definedNames>
    <sheetDataSet>
      <sheetData sheetId="0">
        <row r="2">
          <cell r="B2" t="str">
            <v>Retail Tariff Tool</v>
          </cell>
        </row>
      </sheetData>
      <sheetData sheetId="1"/>
      <sheetData sheetId="2"/>
      <sheetData sheetId="3">
        <row r="3">
          <cell r="D3">
            <v>2014</v>
          </cell>
        </row>
      </sheetData>
      <sheetData sheetId="4">
        <row r="3">
          <cell r="D3">
            <v>2014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puts"/>
      <sheetName val="Calcs (Selected Tech)"/>
      <sheetName val="Outputs"/>
      <sheetName val="Benchmarks"/>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ECA Theme">
  <a:themeElements>
    <a:clrScheme name="ECA Colours">
      <a:dk1>
        <a:sysClr val="windowText" lastClr="000000"/>
      </a:dk1>
      <a:lt1>
        <a:sysClr val="window" lastClr="FFFFFF"/>
      </a:lt1>
      <a:dk2>
        <a:srgbClr val="425968"/>
      </a:dk2>
      <a:lt2>
        <a:srgbClr val="D1CEC6"/>
      </a:lt2>
      <a:accent1>
        <a:srgbClr val="9BAABF"/>
      </a:accent1>
      <a:accent2>
        <a:srgbClr val="425968"/>
      </a:accent2>
      <a:accent3>
        <a:srgbClr val="D1CEC6"/>
      </a:accent3>
      <a:accent4>
        <a:srgbClr val="919693"/>
      </a:accent4>
      <a:accent5>
        <a:srgbClr val="E28C05"/>
      </a:accent5>
      <a:accent6>
        <a:srgbClr val="73923C"/>
      </a:accent6>
      <a:hlink>
        <a:srgbClr val="425968"/>
      </a:hlink>
      <a:folHlink>
        <a:srgbClr val="E28C05"/>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
  <sheetViews>
    <sheetView showGridLines="0" tabSelected="1" workbookViewId="0">
      <selection activeCell="C3" sqref="C3"/>
    </sheetView>
  </sheetViews>
  <sheetFormatPr defaultColWidth="0" defaultRowHeight="12.75" customHeight="1" zeroHeight="1" x14ac:dyDescent="0.25"/>
  <cols>
    <col min="1" max="1" width="4.28515625" style="7" customWidth="1"/>
    <col min="2" max="2" width="22.5703125" style="7" customWidth="1"/>
    <col min="3" max="52" width="9.140625" style="7" customWidth="1"/>
    <col min="53" max="16384" width="9.140625" style="7" hidden="1"/>
  </cols>
  <sheetData>
    <row r="1" spans="2:16" s="4" customFormat="1" x14ac:dyDescent="0.25"/>
    <row r="2" spans="2:16" s="4" customFormat="1" ht="26.25" x14ac:dyDescent="0.25">
      <c r="C2" s="5" t="s">
        <v>37</v>
      </c>
    </row>
    <row r="3" spans="2:16" s="4" customFormat="1" ht="18.75" x14ac:dyDescent="0.25">
      <c r="C3" s="6" t="s">
        <v>28</v>
      </c>
    </row>
    <row r="4" spans="2:16" s="4" customFormat="1" ht="15" x14ac:dyDescent="0.25">
      <c r="C4" s="2"/>
    </row>
    <row r="5" spans="2:16" s="4" customFormat="1" x14ac:dyDescent="0.25"/>
    <row r="6" spans="2:16" s="4" customFormat="1" ht="45.75" customHeight="1" x14ac:dyDescent="0.25">
      <c r="C6" s="40" t="s">
        <v>30</v>
      </c>
      <c r="D6" s="40"/>
      <c r="E6" s="40"/>
      <c r="F6" s="40"/>
      <c r="G6" s="40"/>
      <c r="H6" s="40"/>
      <c r="I6" s="40"/>
      <c r="J6" s="40"/>
      <c r="K6" s="40"/>
      <c r="L6" s="40"/>
      <c r="M6" s="40"/>
      <c r="N6" s="40"/>
      <c r="O6" s="40"/>
      <c r="P6" s="40"/>
    </row>
    <row r="7" spans="2:16" s="4" customFormat="1" x14ac:dyDescent="0.25">
      <c r="C7" s="8"/>
      <c r="D7" s="8"/>
      <c r="E7" s="8"/>
      <c r="F7" s="8"/>
      <c r="G7" s="8"/>
      <c r="H7" s="8"/>
      <c r="I7" s="8"/>
      <c r="J7" s="8"/>
      <c r="K7" s="8"/>
      <c r="L7" s="8"/>
      <c r="M7" s="8"/>
      <c r="N7" s="8"/>
      <c r="O7" s="8"/>
      <c r="P7" s="8"/>
    </row>
    <row r="8" spans="2:16" s="4" customFormat="1" ht="15" x14ac:dyDescent="0.25">
      <c r="C8" s="9"/>
      <c r="D8" s="8"/>
      <c r="E8" s="8"/>
      <c r="F8" s="8"/>
      <c r="G8" s="8"/>
      <c r="H8" s="8"/>
      <c r="I8" s="8"/>
      <c r="J8" s="8"/>
      <c r="K8" s="8"/>
      <c r="L8" s="8"/>
      <c r="M8" s="8"/>
      <c r="N8" s="8"/>
      <c r="O8" s="8"/>
      <c r="P8" s="8"/>
    </row>
    <row r="9" spans="2:16" s="4" customFormat="1" x14ac:dyDescent="0.25">
      <c r="C9" s="8"/>
      <c r="D9" s="8"/>
      <c r="E9" s="8"/>
      <c r="F9" s="8"/>
      <c r="G9" s="8"/>
      <c r="H9" s="8"/>
      <c r="I9" s="8"/>
      <c r="J9" s="8"/>
      <c r="K9" s="8"/>
      <c r="L9" s="8"/>
      <c r="M9" s="8"/>
      <c r="N9" s="8"/>
      <c r="O9" s="8"/>
      <c r="P9" s="8"/>
    </row>
    <row r="10" spans="2:16" s="4" customFormat="1" x14ac:dyDescent="0.25">
      <c r="C10" s="8"/>
      <c r="D10" s="8"/>
      <c r="E10" s="8"/>
      <c r="F10" s="8"/>
      <c r="G10" s="8"/>
      <c r="H10" s="8"/>
      <c r="I10" s="8"/>
      <c r="J10" s="8"/>
      <c r="K10" s="8"/>
      <c r="L10" s="8"/>
      <c r="M10" s="8"/>
      <c r="N10" s="8"/>
      <c r="O10" s="8"/>
      <c r="P10" s="8"/>
    </row>
    <row r="11" spans="2:16" s="4" customFormat="1" x14ac:dyDescent="0.25">
      <c r="C11" s="8"/>
      <c r="D11" s="8"/>
      <c r="E11" s="8"/>
      <c r="F11" s="8"/>
      <c r="G11" s="8"/>
      <c r="H11" s="8"/>
      <c r="I11" s="8"/>
      <c r="J11" s="8"/>
      <c r="K11" s="8"/>
      <c r="L11" s="8"/>
      <c r="M11" s="8"/>
      <c r="N11" s="8"/>
      <c r="O11" s="8"/>
      <c r="P11" s="8"/>
    </row>
    <row r="12" spans="2:16" s="4" customFormat="1" x14ac:dyDescent="0.25">
      <c r="C12" s="8"/>
      <c r="D12" s="8"/>
      <c r="E12" s="8"/>
      <c r="F12" s="8"/>
      <c r="G12" s="8"/>
      <c r="H12" s="8"/>
      <c r="I12" s="8"/>
      <c r="J12" s="8"/>
      <c r="K12" s="8"/>
      <c r="L12" s="8"/>
      <c r="M12" s="8"/>
      <c r="N12" s="8"/>
      <c r="O12" s="8"/>
      <c r="P12" s="8"/>
    </row>
    <row r="13" spans="2:16" s="4" customFormat="1" ht="15" x14ac:dyDescent="0.25">
      <c r="B13" s="2" t="s">
        <v>29</v>
      </c>
      <c r="C13" s="8"/>
      <c r="D13" s="8"/>
      <c r="E13" s="8"/>
      <c r="F13" s="8"/>
      <c r="G13" s="8"/>
      <c r="H13" s="8"/>
      <c r="I13" s="8"/>
      <c r="J13" s="8"/>
      <c r="K13" s="8"/>
      <c r="L13" s="8"/>
      <c r="M13" s="8"/>
      <c r="N13" s="8"/>
      <c r="O13" s="8"/>
      <c r="P13" s="8"/>
    </row>
    <row r="14" spans="2:16" s="4" customFormat="1" x14ac:dyDescent="0.25">
      <c r="C14" s="8"/>
      <c r="D14" s="8"/>
      <c r="E14" s="8"/>
      <c r="F14" s="8"/>
      <c r="G14" s="8"/>
      <c r="H14" s="8"/>
      <c r="I14" s="8"/>
      <c r="J14" s="8"/>
      <c r="K14" s="8"/>
      <c r="L14" s="8"/>
      <c r="M14" s="8"/>
      <c r="N14" s="8"/>
      <c r="O14" s="8"/>
      <c r="P14" s="8"/>
    </row>
    <row r="15" spans="2:16" s="4" customFormat="1" x14ac:dyDescent="0.25">
      <c r="B15" s="21" t="s">
        <v>36</v>
      </c>
    </row>
    <row r="16" spans="2:16"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x14ac:dyDescent="0.25"/>
    <row r="31" s="4" customFormat="1" x14ac:dyDescent="0.25"/>
    <row r="32" s="4" customFormat="1" x14ac:dyDescent="0.25"/>
    <row r="33" s="4" customFormat="1" x14ac:dyDescent="0.25"/>
    <row r="34" s="4" customForma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sheetData>
  <mergeCells count="1">
    <mergeCell ref="C6:P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9"/>
  <sheetViews>
    <sheetView workbookViewId="0">
      <pane xSplit="1" ySplit="3" topLeftCell="B4" activePane="bottomRight" state="frozen"/>
      <selection activeCell="B38" sqref="B38"/>
      <selection pane="topRight" activeCell="B38" sqref="B38"/>
      <selection pane="bottomLeft" activeCell="B38" sqref="B38"/>
      <selection pane="bottomRight" activeCell="A11" sqref="A11"/>
    </sheetView>
  </sheetViews>
  <sheetFormatPr defaultRowHeight="12.75" x14ac:dyDescent="0.2"/>
  <cols>
    <col min="1" max="1" width="27.28515625" style="12" customWidth="1"/>
    <col min="2" max="2" width="10.42578125" style="12" customWidth="1"/>
    <col min="3" max="3" width="21.28515625" style="19" customWidth="1"/>
    <col min="4" max="30" width="11" style="12" customWidth="1"/>
    <col min="31" max="16384" width="9.140625" style="12"/>
  </cols>
  <sheetData>
    <row r="1" spans="1:30" s="1" customFormat="1" ht="15.75" x14ac:dyDescent="0.25">
      <c r="A1" s="23" t="str">
        <f>[1]TITLE!Title_Project</f>
        <v>Retail Tariff Tool</v>
      </c>
      <c r="B1" s="3"/>
      <c r="C1" s="22"/>
      <c r="D1" s="22"/>
    </row>
    <row r="2" spans="1:30" s="1" customFormat="1" ht="15" x14ac:dyDescent="0.25">
      <c r="A2" s="1" t="s">
        <v>31</v>
      </c>
      <c r="C2" s="22"/>
    </row>
    <row r="3" spans="1:30" s="2" customFormat="1" ht="15" x14ac:dyDescent="0.25">
      <c r="B3" s="2" t="s">
        <v>0</v>
      </c>
      <c r="C3" s="2" t="s">
        <v>38</v>
      </c>
      <c r="D3" s="2">
        <f>$D$7</f>
        <v>2014</v>
      </c>
      <c r="E3" s="2">
        <f t="shared" ref="E3:AD3" si="0">D3+1</f>
        <v>2015</v>
      </c>
      <c r="F3" s="2">
        <f t="shared" si="0"/>
        <v>2016</v>
      </c>
      <c r="G3" s="2">
        <f t="shared" si="0"/>
        <v>2017</v>
      </c>
      <c r="H3" s="2">
        <f t="shared" si="0"/>
        <v>2018</v>
      </c>
      <c r="I3" s="2">
        <f t="shared" si="0"/>
        <v>2019</v>
      </c>
      <c r="J3" s="2">
        <f t="shared" si="0"/>
        <v>2020</v>
      </c>
      <c r="K3" s="2">
        <f t="shared" si="0"/>
        <v>2021</v>
      </c>
      <c r="L3" s="2">
        <f t="shared" si="0"/>
        <v>2022</v>
      </c>
      <c r="M3" s="2">
        <f t="shared" si="0"/>
        <v>2023</v>
      </c>
      <c r="N3" s="2">
        <f t="shared" si="0"/>
        <v>2024</v>
      </c>
      <c r="O3" s="2">
        <f t="shared" si="0"/>
        <v>2025</v>
      </c>
      <c r="P3" s="2">
        <f t="shared" si="0"/>
        <v>2026</v>
      </c>
      <c r="Q3" s="2">
        <f t="shared" si="0"/>
        <v>2027</v>
      </c>
      <c r="R3" s="2">
        <f t="shared" si="0"/>
        <v>2028</v>
      </c>
      <c r="S3" s="2">
        <f t="shared" si="0"/>
        <v>2029</v>
      </c>
      <c r="T3" s="2">
        <f t="shared" si="0"/>
        <v>2030</v>
      </c>
      <c r="U3" s="2">
        <f t="shared" si="0"/>
        <v>2031</v>
      </c>
      <c r="V3" s="2">
        <f t="shared" si="0"/>
        <v>2032</v>
      </c>
      <c r="W3" s="2">
        <f t="shared" si="0"/>
        <v>2033</v>
      </c>
      <c r="X3" s="2">
        <f t="shared" si="0"/>
        <v>2034</v>
      </c>
      <c r="Y3" s="2">
        <f t="shared" si="0"/>
        <v>2035</v>
      </c>
      <c r="Z3" s="2">
        <f t="shared" si="0"/>
        <v>2036</v>
      </c>
      <c r="AA3" s="2">
        <f t="shared" si="0"/>
        <v>2037</v>
      </c>
      <c r="AB3" s="2">
        <f t="shared" si="0"/>
        <v>2038</v>
      </c>
      <c r="AC3" s="2">
        <f t="shared" si="0"/>
        <v>2039</v>
      </c>
      <c r="AD3" s="2">
        <f t="shared" si="0"/>
        <v>2040</v>
      </c>
    </row>
    <row r="4" spans="1:30" s="24" customFormat="1" x14ac:dyDescent="0.25">
      <c r="C4" s="25"/>
    </row>
    <row r="5" spans="1:30" s="10" customFormat="1" x14ac:dyDescent="0.2">
      <c r="A5" s="10" t="s">
        <v>39</v>
      </c>
      <c r="C5" s="11"/>
    </row>
    <row r="7" spans="1:30" x14ac:dyDescent="0.2">
      <c r="A7" s="12" t="s">
        <v>40</v>
      </c>
      <c r="B7" s="12" t="s">
        <v>27</v>
      </c>
      <c r="C7" s="19" t="s">
        <v>41</v>
      </c>
      <c r="D7" s="26">
        <v>2014</v>
      </c>
      <c r="E7" s="19"/>
      <c r="F7" s="19"/>
      <c r="G7" s="19"/>
      <c r="H7" s="19"/>
      <c r="I7" s="19"/>
      <c r="J7" s="19"/>
      <c r="K7" s="19"/>
      <c r="L7" s="19"/>
      <c r="M7" s="19"/>
      <c r="N7" s="19"/>
      <c r="O7" s="19"/>
      <c r="P7" s="19"/>
    </row>
    <row r="8" spans="1:30" x14ac:dyDescent="0.2">
      <c r="A8" s="12" t="s">
        <v>42</v>
      </c>
      <c r="B8" s="12" t="s">
        <v>27</v>
      </c>
      <c r="C8" s="19" t="s">
        <v>43</v>
      </c>
      <c r="D8" s="26">
        <v>2015</v>
      </c>
      <c r="E8" s="27"/>
      <c r="F8" s="27"/>
      <c r="G8" s="27"/>
      <c r="H8" s="27"/>
      <c r="I8" s="27"/>
      <c r="J8" s="27"/>
      <c r="K8" s="27"/>
      <c r="L8" s="27"/>
      <c r="M8" s="27"/>
      <c r="N8" s="27"/>
      <c r="O8" s="27"/>
      <c r="P8" s="27"/>
      <c r="Q8" s="28"/>
      <c r="R8" s="28"/>
      <c r="S8" s="28"/>
      <c r="T8" s="28"/>
      <c r="U8" s="28"/>
      <c r="V8" s="28"/>
      <c r="W8" s="28"/>
      <c r="X8" s="28"/>
      <c r="Y8" s="28"/>
      <c r="Z8" s="28"/>
      <c r="AA8" s="28"/>
      <c r="AB8" s="28"/>
      <c r="AC8" s="28"/>
      <c r="AD8" s="28"/>
    </row>
    <row r="9" spans="1:30" x14ac:dyDescent="0.2">
      <c r="A9" s="12" t="s">
        <v>44</v>
      </c>
      <c r="B9" s="12" t="s">
        <v>2</v>
      </c>
      <c r="C9" s="19" t="s">
        <v>45</v>
      </c>
      <c r="D9" s="26">
        <v>5</v>
      </c>
      <c r="E9" s="27"/>
      <c r="F9" s="27"/>
      <c r="G9" s="27"/>
      <c r="H9" s="27"/>
      <c r="I9" s="27"/>
      <c r="J9" s="27"/>
      <c r="K9" s="27"/>
      <c r="L9" s="27"/>
      <c r="M9" s="27"/>
      <c r="N9" s="27"/>
      <c r="O9" s="27"/>
      <c r="P9" s="27"/>
      <c r="Q9" s="28"/>
      <c r="R9" s="28"/>
      <c r="S9" s="28"/>
      <c r="T9" s="28"/>
      <c r="U9" s="28"/>
      <c r="V9" s="28"/>
      <c r="W9" s="28"/>
      <c r="X9" s="28"/>
      <c r="Y9" s="28"/>
      <c r="Z9" s="28"/>
      <c r="AA9" s="28"/>
      <c r="AB9" s="28"/>
      <c r="AC9" s="28"/>
      <c r="AD9" s="28"/>
    </row>
    <row r="10" spans="1:30" x14ac:dyDescent="0.2">
      <c r="D10" s="27"/>
      <c r="E10" s="27"/>
      <c r="F10" s="27"/>
      <c r="G10" s="27"/>
      <c r="H10" s="27"/>
      <c r="I10" s="27"/>
      <c r="J10" s="27"/>
      <c r="K10" s="27"/>
      <c r="L10" s="27"/>
      <c r="M10" s="27"/>
      <c r="N10" s="27"/>
      <c r="O10" s="27"/>
      <c r="P10" s="27"/>
      <c r="Q10" s="28"/>
      <c r="R10" s="28"/>
      <c r="S10" s="28"/>
      <c r="T10" s="28"/>
      <c r="U10" s="28"/>
      <c r="V10" s="28"/>
      <c r="W10" s="28"/>
      <c r="X10" s="28"/>
      <c r="Y10" s="28"/>
      <c r="Z10" s="28"/>
      <c r="AA10" s="28"/>
      <c r="AB10" s="28"/>
      <c r="AC10" s="28"/>
      <c r="AD10" s="28"/>
    </row>
    <row r="11" spans="1:30" s="10" customFormat="1" x14ac:dyDescent="0.2">
      <c r="A11" s="10" t="s">
        <v>46</v>
      </c>
      <c r="C11" s="11"/>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row>
    <row r="12" spans="1:30" x14ac:dyDescent="0.2">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row>
    <row r="13" spans="1:30" x14ac:dyDescent="0.2">
      <c r="A13" s="26" t="s">
        <v>47</v>
      </c>
      <c r="B13" s="12" t="s">
        <v>48</v>
      </c>
      <c r="C13" s="41" t="s">
        <v>49</v>
      </c>
      <c r="D13" s="30"/>
      <c r="E13" s="30">
        <v>40000000</v>
      </c>
      <c r="F13" s="30">
        <f>E13*(1+2%)</f>
        <v>40800000</v>
      </c>
      <c r="G13" s="30">
        <f t="shared" ref="G13:AD14" si="1">F13*(1+2%)</f>
        <v>41616000</v>
      </c>
      <c r="H13" s="30">
        <f t="shared" si="1"/>
        <v>42448320</v>
      </c>
      <c r="I13" s="30">
        <f t="shared" si="1"/>
        <v>43297286.399999999</v>
      </c>
      <c r="J13" s="30">
        <f t="shared" si="1"/>
        <v>44163232.127999999</v>
      </c>
      <c r="K13" s="30">
        <f t="shared" si="1"/>
        <v>45046496.770559996</v>
      </c>
      <c r="L13" s="30">
        <f t="shared" si="1"/>
        <v>45947426.705971196</v>
      </c>
      <c r="M13" s="30">
        <f t="shared" si="1"/>
        <v>46866375.240090623</v>
      </c>
      <c r="N13" s="30">
        <f t="shared" si="1"/>
        <v>47803702.744892433</v>
      </c>
      <c r="O13" s="30">
        <f t="shared" si="1"/>
        <v>48759776.799790286</v>
      </c>
      <c r="P13" s="30">
        <f t="shared" si="1"/>
        <v>49734972.335786089</v>
      </c>
      <c r="Q13" s="30">
        <f t="shared" si="1"/>
        <v>50729671.782501809</v>
      </c>
      <c r="R13" s="30">
        <f t="shared" si="1"/>
        <v>51744265.218151845</v>
      </c>
      <c r="S13" s="30">
        <f t="shared" si="1"/>
        <v>52779150.52251488</v>
      </c>
      <c r="T13" s="30">
        <f t="shared" si="1"/>
        <v>53834733.532965176</v>
      </c>
      <c r="U13" s="30">
        <f t="shared" si="1"/>
        <v>54911428.203624479</v>
      </c>
      <c r="V13" s="30">
        <f t="shared" si="1"/>
        <v>56009656.767696969</v>
      </c>
      <c r="W13" s="30">
        <f t="shared" si="1"/>
        <v>57129849.903050907</v>
      </c>
      <c r="X13" s="30">
        <f t="shared" si="1"/>
        <v>58272446.901111923</v>
      </c>
      <c r="Y13" s="30">
        <f t="shared" si="1"/>
        <v>59437895.839134164</v>
      </c>
      <c r="Z13" s="30">
        <f t="shared" si="1"/>
        <v>60626653.755916849</v>
      </c>
      <c r="AA13" s="30">
        <f t="shared" si="1"/>
        <v>61839186.831035189</v>
      </c>
      <c r="AB13" s="30">
        <f t="shared" si="1"/>
        <v>63075970.567655891</v>
      </c>
      <c r="AC13" s="30">
        <f t="shared" si="1"/>
        <v>64337489.97900901</v>
      </c>
      <c r="AD13" s="30">
        <f t="shared" si="1"/>
        <v>65624239.778589189</v>
      </c>
    </row>
    <row r="14" spans="1:30" x14ac:dyDescent="0.2">
      <c r="A14" s="26" t="s">
        <v>50</v>
      </c>
      <c r="B14" s="12" t="s">
        <v>48</v>
      </c>
      <c r="C14" s="41"/>
      <c r="D14" s="30"/>
      <c r="E14" s="30">
        <v>10000000</v>
      </c>
      <c r="F14" s="30">
        <f>E14*(1+2%)</f>
        <v>10200000</v>
      </c>
      <c r="G14" s="30">
        <f t="shared" si="1"/>
        <v>10404000</v>
      </c>
      <c r="H14" s="30">
        <f t="shared" si="1"/>
        <v>10612080</v>
      </c>
      <c r="I14" s="30">
        <f t="shared" si="1"/>
        <v>10824321.6</v>
      </c>
      <c r="J14" s="30">
        <f t="shared" si="1"/>
        <v>11040808.032</v>
      </c>
      <c r="K14" s="30">
        <f t="shared" si="1"/>
        <v>11261624.192639999</v>
      </c>
      <c r="L14" s="30">
        <f t="shared" si="1"/>
        <v>11486856.676492799</v>
      </c>
      <c r="M14" s="30">
        <f t="shared" si="1"/>
        <v>11716593.810022656</v>
      </c>
      <c r="N14" s="30">
        <f t="shared" si="1"/>
        <v>11950925.686223108</v>
      </c>
      <c r="O14" s="30">
        <f t="shared" si="1"/>
        <v>12189944.199947571</v>
      </c>
      <c r="P14" s="30">
        <f t="shared" si="1"/>
        <v>12433743.083946522</v>
      </c>
      <c r="Q14" s="30">
        <f t="shared" si="1"/>
        <v>12682417.945625452</v>
      </c>
      <c r="R14" s="30">
        <f t="shared" si="1"/>
        <v>12936066.304537961</v>
      </c>
      <c r="S14" s="30">
        <f t="shared" si="1"/>
        <v>13194787.63062872</v>
      </c>
      <c r="T14" s="30">
        <f t="shared" si="1"/>
        <v>13458683.383241294</v>
      </c>
      <c r="U14" s="30">
        <f t="shared" si="1"/>
        <v>13727857.05090612</v>
      </c>
      <c r="V14" s="30">
        <f t="shared" si="1"/>
        <v>14002414.191924242</v>
      </c>
      <c r="W14" s="30">
        <f t="shared" si="1"/>
        <v>14282462.475762727</v>
      </c>
      <c r="X14" s="30">
        <f t="shared" si="1"/>
        <v>14568111.725277981</v>
      </c>
      <c r="Y14" s="30">
        <f t="shared" si="1"/>
        <v>14859473.959783541</v>
      </c>
      <c r="Z14" s="30">
        <f t="shared" si="1"/>
        <v>15156663.438979212</v>
      </c>
      <c r="AA14" s="30">
        <f t="shared" si="1"/>
        <v>15459796.707758797</v>
      </c>
      <c r="AB14" s="30">
        <f t="shared" si="1"/>
        <v>15768992.641913973</v>
      </c>
      <c r="AC14" s="30">
        <f t="shared" si="1"/>
        <v>16084372.494752252</v>
      </c>
      <c r="AD14" s="30">
        <f t="shared" si="1"/>
        <v>16406059.944647297</v>
      </c>
    </row>
    <row r="15" spans="1:30" x14ac:dyDescent="0.2">
      <c r="A15" s="26"/>
      <c r="B15" s="12" t="s">
        <v>48</v>
      </c>
      <c r="C15" s="41"/>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row>
    <row r="16" spans="1:30" x14ac:dyDescent="0.2">
      <c r="A16" s="26"/>
      <c r="B16" s="12" t="s">
        <v>48</v>
      </c>
      <c r="C16" s="41"/>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row>
    <row r="17" spans="1:30" x14ac:dyDescent="0.2">
      <c r="A17" s="26"/>
      <c r="B17" s="12" t="s">
        <v>48</v>
      </c>
      <c r="C17" s="41"/>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row>
    <row r="18" spans="1:30" x14ac:dyDescent="0.2">
      <c r="A18" s="26"/>
      <c r="B18" s="12" t="s">
        <v>48</v>
      </c>
      <c r="C18" s="41"/>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row>
    <row r="19" spans="1:30" x14ac:dyDescent="0.2">
      <c r="A19" s="26"/>
      <c r="B19" s="12" t="s">
        <v>48</v>
      </c>
      <c r="C19" s="41"/>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row>
    <row r="20" spans="1:30" x14ac:dyDescent="0.2">
      <c r="A20" s="12" t="s">
        <v>32</v>
      </c>
      <c r="B20" s="12" t="s">
        <v>48</v>
      </c>
      <c r="D20" s="28">
        <f>SUM(D13:D19)</f>
        <v>0</v>
      </c>
      <c r="E20" s="28">
        <f t="shared" ref="E20:AD20" si="2">SUM(E13:E19)</f>
        <v>50000000</v>
      </c>
      <c r="F20" s="28">
        <f t="shared" si="2"/>
        <v>51000000</v>
      </c>
      <c r="G20" s="28">
        <f t="shared" si="2"/>
        <v>52020000</v>
      </c>
      <c r="H20" s="28">
        <f t="shared" si="2"/>
        <v>53060400</v>
      </c>
      <c r="I20" s="28">
        <f t="shared" si="2"/>
        <v>54121608</v>
      </c>
      <c r="J20" s="28">
        <f t="shared" si="2"/>
        <v>55204040.159999996</v>
      </c>
      <c r="K20" s="28">
        <f t="shared" si="2"/>
        <v>56308120.963199995</v>
      </c>
      <c r="L20" s="28">
        <f t="shared" si="2"/>
        <v>57434283.382463992</v>
      </c>
      <c r="M20" s="28">
        <f t="shared" si="2"/>
        <v>58582969.050113276</v>
      </c>
      <c r="N20" s="28">
        <f t="shared" si="2"/>
        <v>59754628.431115538</v>
      </c>
      <c r="O20" s="28">
        <f t="shared" si="2"/>
        <v>60949720.999737859</v>
      </c>
      <c r="P20" s="28">
        <f t="shared" si="2"/>
        <v>62168715.419732615</v>
      </c>
      <c r="Q20" s="28">
        <f t="shared" si="2"/>
        <v>63412089.728127263</v>
      </c>
      <c r="R20" s="28">
        <f t="shared" si="2"/>
        <v>64680331.522689804</v>
      </c>
      <c r="S20" s="28">
        <f t="shared" si="2"/>
        <v>65973938.1531436</v>
      </c>
      <c r="T20" s="28">
        <f t="shared" si="2"/>
        <v>67293416.916206464</v>
      </c>
      <c r="U20" s="28">
        <f t="shared" si="2"/>
        <v>68639285.254530594</v>
      </c>
      <c r="V20" s="28">
        <f t="shared" si="2"/>
        <v>70012070.959621206</v>
      </c>
      <c r="W20" s="28">
        <f t="shared" si="2"/>
        <v>71412312.378813639</v>
      </c>
      <c r="X20" s="28">
        <f t="shared" si="2"/>
        <v>72840558.626389906</v>
      </c>
      <c r="Y20" s="28">
        <f t="shared" si="2"/>
        <v>74297369.798917711</v>
      </c>
      <c r="Z20" s="28">
        <f t="shared" si="2"/>
        <v>75783317.194896057</v>
      </c>
      <c r="AA20" s="28">
        <f t="shared" si="2"/>
        <v>77298983.538793981</v>
      </c>
      <c r="AB20" s="28">
        <f t="shared" si="2"/>
        <v>78844963.209569871</v>
      </c>
      <c r="AC20" s="28">
        <f t="shared" si="2"/>
        <v>80421862.473761261</v>
      </c>
      <c r="AD20" s="28">
        <f t="shared" si="2"/>
        <v>82030299.723236486</v>
      </c>
    </row>
    <row r="21" spans="1:30" x14ac:dyDescent="0.2">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row>
    <row r="22" spans="1:30" s="10" customFormat="1" x14ac:dyDescent="0.2">
      <c r="A22" s="10" t="s">
        <v>33</v>
      </c>
      <c r="C22" s="11"/>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row>
    <row r="23" spans="1:30" x14ac:dyDescent="0.2">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row>
    <row r="24" spans="1:30" x14ac:dyDescent="0.2">
      <c r="A24" s="26" t="s">
        <v>34</v>
      </c>
      <c r="B24" s="12" t="s">
        <v>6</v>
      </c>
      <c r="C24" s="41" t="s">
        <v>51</v>
      </c>
      <c r="D24" s="30"/>
      <c r="E24" s="30">
        <v>4050000</v>
      </c>
      <c r="F24" s="30">
        <v>4050000</v>
      </c>
      <c r="G24" s="30">
        <v>4050000</v>
      </c>
      <c r="H24" s="30">
        <v>4050000</v>
      </c>
      <c r="I24" s="30">
        <v>4050000</v>
      </c>
      <c r="J24" s="30">
        <v>4050000</v>
      </c>
      <c r="K24" s="30">
        <v>4050000</v>
      </c>
      <c r="L24" s="30">
        <v>4050000</v>
      </c>
      <c r="M24" s="30">
        <v>4050000</v>
      </c>
      <c r="N24" s="30">
        <v>4050000</v>
      </c>
      <c r="O24" s="30">
        <v>4050000</v>
      </c>
      <c r="P24" s="30">
        <v>4050000</v>
      </c>
      <c r="Q24" s="30">
        <v>4050000</v>
      </c>
      <c r="R24" s="30">
        <v>4050000</v>
      </c>
      <c r="S24" s="30">
        <v>4050000</v>
      </c>
      <c r="T24" s="30">
        <v>4050000</v>
      </c>
      <c r="U24" s="30">
        <v>4050000</v>
      </c>
      <c r="V24" s="30">
        <v>4050000</v>
      </c>
      <c r="W24" s="30">
        <v>4050000</v>
      </c>
      <c r="X24" s="30">
        <v>4050000</v>
      </c>
      <c r="Y24" s="30">
        <v>4050000</v>
      </c>
      <c r="Z24" s="30">
        <v>4050000</v>
      </c>
      <c r="AA24" s="30">
        <v>4050000</v>
      </c>
      <c r="AB24" s="30">
        <v>4050000</v>
      </c>
      <c r="AC24" s="30">
        <v>4050000</v>
      </c>
      <c r="AD24" s="30">
        <v>4050000</v>
      </c>
    </row>
    <row r="25" spans="1:30" x14ac:dyDescent="0.2">
      <c r="A25" s="26" t="s">
        <v>52</v>
      </c>
      <c r="B25" s="12" t="s">
        <v>6</v>
      </c>
      <c r="C25" s="41"/>
      <c r="D25" s="30"/>
      <c r="E25" s="30">
        <v>500000</v>
      </c>
      <c r="F25" s="30">
        <v>500000</v>
      </c>
      <c r="G25" s="30">
        <v>500000</v>
      </c>
      <c r="H25" s="30">
        <v>500000</v>
      </c>
      <c r="I25" s="30">
        <v>500000</v>
      </c>
      <c r="J25" s="30">
        <v>500000</v>
      </c>
      <c r="K25" s="30">
        <v>500000</v>
      </c>
      <c r="L25" s="30">
        <v>500000</v>
      </c>
      <c r="M25" s="30">
        <v>500000</v>
      </c>
      <c r="N25" s="30">
        <v>500000</v>
      </c>
      <c r="O25" s="30">
        <v>500000</v>
      </c>
      <c r="P25" s="30">
        <v>500000</v>
      </c>
      <c r="Q25" s="30">
        <v>500000</v>
      </c>
      <c r="R25" s="30">
        <v>500000</v>
      </c>
      <c r="S25" s="30">
        <v>500000</v>
      </c>
      <c r="T25" s="30">
        <v>500000</v>
      </c>
      <c r="U25" s="30">
        <v>500000</v>
      </c>
      <c r="V25" s="30">
        <v>500000</v>
      </c>
      <c r="W25" s="30">
        <v>500000</v>
      </c>
      <c r="X25" s="30">
        <v>500000</v>
      </c>
      <c r="Y25" s="30">
        <v>500000</v>
      </c>
      <c r="Z25" s="30">
        <v>500000</v>
      </c>
      <c r="AA25" s="30">
        <v>500000</v>
      </c>
      <c r="AB25" s="30">
        <v>500000</v>
      </c>
      <c r="AC25" s="30">
        <v>500000</v>
      </c>
      <c r="AD25" s="30">
        <v>500000</v>
      </c>
    </row>
    <row r="26" spans="1:30" x14ac:dyDescent="0.2">
      <c r="A26" s="26" t="s">
        <v>53</v>
      </c>
      <c r="B26" s="12" t="s">
        <v>6</v>
      </c>
      <c r="C26" s="41"/>
      <c r="D26" s="30"/>
      <c r="E26" s="30">
        <v>500000</v>
      </c>
      <c r="F26" s="30">
        <v>500000</v>
      </c>
      <c r="G26" s="30">
        <v>500000</v>
      </c>
      <c r="H26" s="30">
        <v>500000</v>
      </c>
      <c r="I26" s="30">
        <v>500000</v>
      </c>
      <c r="J26" s="30">
        <v>500000</v>
      </c>
      <c r="K26" s="30">
        <v>500000</v>
      </c>
      <c r="L26" s="30">
        <v>500000</v>
      </c>
      <c r="M26" s="30">
        <v>500000</v>
      </c>
      <c r="N26" s="30">
        <v>500000</v>
      </c>
      <c r="O26" s="30">
        <v>500000</v>
      </c>
      <c r="P26" s="30">
        <v>500000</v>
      </c>
      <c r="Q26" s="30">
        <v>500000</v>
      </c>
      <c r="R26" s="30">
        <v>500000</v>
      </c>
      <c r="S26" s="30">
        <v>500000</v>
      </c>
      <c r="T26" s="30">
        <v>500000</v>
      </c>
      <c r="U26" s="30">
        <v>500000</v>
      </c>
      <c r="V26" s="30">
        <v>500000</v>
      </c>
      <c r="W26" s="30">
        <v>500000</v>
      </c>
      <c r="X26" s="30">
        <v>500000</v>
      </c>
      <c r="Y26" s="30">
        <v>500000</v>
      </c>
      <c r="Z26" s="30">
        <v>500000</v>
      </c>
      <c r="AA26" s="30">
        <v>500000</v>
      </c>
      <c r="AB26" s="30">
        <v>500000</v>
      </c>
      <c r="AC26" s="30">
        <v>500000</v>
      </c>
      <c r="AD26" s="30">
        <v>500000</v>
      </c>
    </row>
    <row r="27" spans="1:30" x14ac:dyDescent="0.2">
      <c r="A27" s="26" t="s">
        <v>54</v>
      </c>
      <c r="B27" s="12" t="s">
        <v>6</v>
      </c>
      <c r="C27" s="41"/>
      <c r="D27" s="30"/>
      <c r="E27" s="30">
        <v>250000</v>
      </c>
      <c r="F27" s="30">
        <v>250000</v>
      </c>
      <c r="G27" s="30">
        <v>250000</v>
      </c>
      <c r="H27" s="30">
        <v>250000</v>
      </c>
      <c r="I27" s="30">
        <v>250000</v>
      </c>
      <c r="J27" s="30">
        <v>250000</v>
      </c>
      <c r="K27" s="30">
        <v>250000</v>
      </c>
      <c r="L27" s="30">
        <v>250000</v>
      </c>
      <c r="M27" s="30">
        <v>250000</v>
      </c>
      <c r="N27" s="30">
        <v>250000</v>
      </c>
      <c r="O27" s="30">
        <v>250000</v>
      </c>
      <c r="P27" s="30">
        <v>250000</v>
      </c>
      <c r="Q27" s="30">
        <v>250000</v>
      </c>
      <c r="R27" s="30">
        <v>250000</v>
      </c>
      <c r="S27" s="30">
        <v>250000</v>
      </c>
      <c r="T27" s="30">
        <v>250000</v>
      </c>
      <c r="U27" s="30">
        <v>250000</v>
      </c>
      <c r="V27" s="30">
        <v>250000</v>
      </c>
      <c r="W27" s="30">
        <v>250000</v>
      </c>
      <c r="X27" s="30">
        <v>250000</v>
      </c>
      <c r="Y27" s="30">
        <v>250000</v>
      </c>
      <c r="Z27" s="30">
        <v>250000</v>
      </c>
      <c r="AA27" s="30">
        <v>250000</v>
      </c>
      <c r="AB27" s="30">
        <v>250000</v>
      </c>
      <c r="AC27" s="30">
        <v>250000</v>
      </c>
      <c r="AD27" s="30">
        <v>250000</v>
      </c>
    </row>
    <row r="28" spans="1:30" x14ac:dyDescent="0.2">
      <c r="A28" s="26" t="s">
        <v>55</v>
      </c>
      <c r="B28" s="12" t="s">
        <v>6</v>
      </c>
      <c r="C28" s="41"/>
      <c r="D28" s="30"/>
      <c r="E28" s="30">
        <v>500000</v>
      </c>
      <c r="F28" s="30">
        <v>500000</v>
      </c>
      <c r="G28" s="30">
        <v>500000</v>
      </c>
      <c r="H28" s="30">
        <v>500000</v>
      </c>
      <c r="I28" s="30">
        <v>500000</v>
      </c>
      <c r="J28" s="30">
        <v>500000</v>
      </c>
      <c r="K28" s="30">
        <v>500000</v>
      </c>
      <c r="L28" s="30">
        <v>500000</v>
      </c>
      <c r="M28" s="30">
        <v>500000</v>
      </c>
      <c r="N28" s="30">
        <v>500000</v>
      </c>
      <c r="O28" s="30">
        <v>500000</v>
      </c>
      <c r="P28" s="30">
        <v>500000</v>
      </c>
      <c r="Q28" s="30">
        <v>500000</v>
      </c>
      <c r="R28" s="30">
        <v>500000</v>
      </c>
      <c r="S28" s="30">
        <v>500000</v>
      </c>
      <c r="T28" s="30">
        <v>500000</v>
      </c>
      <c r="U28" s="30">
        <v>500000</v>
      </c>
      <c r="V28" s="30">
        <v>500000</v>
      </c>
      <c r="W28" s="30">
        <v>500000</v>
      </c>
      <c r="X28" s="30">
        <v>500000</v>
      </c>
      <c r="Y28" s="30">
        <v>500000</v>
      </c>
      <c r="Z28" s="30">
        <v>500000</v>
      </c>
      <c r="AA28" s="30">
        <v>500000</v>
      </c>
      <c r="AB28" s="30">
        <v>500000</v>
      </c>
      <c r="AC28" s="30">
        <v>500000</v>
      </c>
      <c r="AD28" s="30">
        <v>500000</v>
      </c>
    </row>
    <row r="29" spans="1:30" x14ac:dyDescent="0.2">
      <c r="A29" s="26"/>
      <c r="B29" s="12" t="s">
        <v>6</v>
      </c>
      <c r="C29" s="41"/>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row>
    <row r="30" spans="1:30" x14ac:dyDescent="0.2">
      <c r="A30" s="26"/>
      <c r="B30" s="12" t="s">
        <v>6</v>
      </c>
      <c r="C30" s="41"/>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row>
    <row r="31" spans="1:30" x14ac:dyDescent="0.2">
      <c r="A31" s="12" t="s">
        <v>32</v>
      </c>
      <c r="B31" s="12" t="s">
        <v>6</v>
      </c>
      <c r="D31" s="28">
        <f>SUM(D24:D30)</f>
        <v>0</v>
      </c>
      <c r="E31" s="28">
        <f t="shared" ref="E31:AD31" si="3">SUM(E24:E30)</f>
        <v>5800000</v>
      </c>
      <c r="F31" s="28">
        <f t="shared" si="3"/>
        <v>5800000</v>
      </c>
      <c r="G31" s="28">
        <f t="shared" si="3"/>
        <v>5800000</v>
      </c>
      <c r="H31" s="28">
        <f t="shared" si="3"/>
        <v>5800000</v>
      </c>
      <c r="I31" s="28">
        <f t="shared" si="3"/>
        <v>5800000</v>
      </c>
      <c r="J31" s="28">
        <f t="shared" si="3"/>
        <v>5800000</v>
      </c>
      <c r="K31" s="28">
        <f t="shared" si="3"/>
        <v>5800000</v>
      </c>
      <c r="L31" s="28">
        <f t="shared" si="3"/>
        <v>5800000</v>
      </c>
      <c r="M31" s="28">
        <f t="shared" si="3"/>
        <v>5800000</v>
      </c>
      <c r="N31" s="28">
        <f t="shared" si="3"/>
        <v>5800000</v>
      </c>
      <c r="O31" s="28">
        <f t="shared" si="3"/>
        <v>5800000</v>
      </c>
      <c r="P31" s="28">
        <f t="shared" si="3"/>
        <v>5800000</v>
      </c>
      <c r="Q31" s="28">
        <f t="shared" si="3"/>
        <v>5800000</v>
      </c>
      <c r="R31" s="28">
        <f t="shared" si="3"/>
        <v>5800000</v>
      </c>
      <c r="S31" s="28">
        <f t="shared" si="3"/>
        <v>5800000</v>
      </c>
      <c r="T31" s="28">
        <f t="shared" si="3"/>
        <v>5800000</v>
      </c>
      <c r="U31" s="28">
        <f t="shared" si="3"/>
        <v>5800000</v>
      </c>
      <c r="V31" s="28">
        <f t="shared" si="3"/>
        <v>5800000</v>
      </c>
      <c r="W31" s="28">
        <f t="shared" si="3"/>
        <v>5800000</v>
      </c>
      <c r="X31" s="28">
        <f t="shared" si="3"/>
        <v>5800000</v>
      </c>
      <c r="Y31" s="28">
        <f t="shared" si="3"/>
        <v>5800000</v>
      </c>
      <c r="Z31" s="28">
        <f t="shared" si="3"/>
        <v>5800000</v>
      </c>
      <c r="AA31" s="28">
        <f t="shared" si="3"/>
        <v>5800000</v>
      </c>
      <c r="AB31" s="28">
        <f t="shared" si="3"/>
        <v>5800000</v>
      </c>
      <c r="AC31" s="28">
        <f t="shared" si="3"/>
        <v>5800000</v>
      </c>
      <c r="AD31" s="28">
        <f t="shared" si="3"/>
        <v>5800000</v>
      </c>
    </row>
    <row r="32" spans="1:30" x14ac:dyDescent="0.2">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row>
    <row r="33" spans="1:30" s="10" customFormat="1" x14ac:dyDescent="0.2">
      <c r="A33" s="10" t="s">
        <v>56</v>
      </c>
      <c r="C33" s="11"/>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row>
    <row r="34" spans="1:30" x14ac:dyDescent="0.2">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row>
    <row r="35" spans="1:30" x14ac:dyDescent="0.2">
      <c r="A35" s="26" t="s">
        <v>57</v>
      </c>
      <c r="B35" s="12" t="s">
        <v>6</v>
      </c>
      <c r="C35" s="41" t="s">
        <v>58</v>
      </c>
      <c r="D35" s="30">
        <v>1000000</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row>
    <row r="36" spans="1:30" x14ac:dyDescent="0.2">
      <c r="A36" s="26" t="s">
        <v>59</v>
      </c>
      <c r="B36" s="12" t="s">
        <v>6</v>
      </c>
      <c r="C36" s="41"/>
      <c r="D36" s="30">
        <v>20000000</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row>
    <row r="37" spans="1:30" x14ac:dyDescent="0.2">
      <c r="A37" s="26" t="s">
        <v>60</v>
      </c>
      <c r="B37" s="12" t="s">
        <v>6</v>
      </c>
      <c r="C37" s="41"/>
      <c r="D37" s="30">
        <v>4000000</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row>
    <row r="38" spans="1:30" x14ac:dyDescent="0.2">
      <c r="A38" s="26" t="s">
        <v>61</v>
      </c>
      <c r="B38" s="12" t="s">
        <v>6</v>
      </c>
      <c r="C38" s="41"/>
      <c r="D38" s="30">
        <v>1000000</v>
      </c>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row>
    <row r="39" spans="1:30" x14ac:dyDescent="0.2">
      <c r="A39" s="26" t="s">
        <v>62</v>
      </c>
      <c r="B39" s="12" t="s">
        <v>6</v>
      </c>
      <c r="C39" s="41"/>
      <c r="D39" s="30">
        <v>200000</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row>
    <row r="40" spans="1:30" x14ac:dyDescent="0.2">
      <c r="A40" s="26"/>
      <c r="B40" s="12" t="s">
        <v>6</v>
      </c>
      <c r="C40" s="41"/>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row>
    <row r="41" spans="1:30" x14ac:dyDescent="0.2">
      <c r="A41" s="26"/>
      <c r="B41" s="12" t="s">
        <v>6</v>
      </c>
      <c r="C41" s="41"/>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row>
    <row r="42" spans="1:30" x14ac:dyDescent="0.2">
      <c r="A42" s="12" t="s">
        <v>32</v>
      </c>
      <c r="B42" s="12" t="s">
        <v>6</v>
      </c>
      <c r="D42" s="28">
        <f>SUM(D35:D41)</f>
        <v>26200000</v>
      </c>
      <c r="E42" s="28">
        <f t="shared" ref="E42:AD42" si="4">SUM(E35:E41)</f>
        <v>0</v>
      </c>
      <c r="F42" s="28">
        <f t="shared" si="4"/>
        <v>0</v>
      </c>
      <c r="G42" s="28">
        <f t="shared" si="4"/>
        <v>0</v>
      </c>
      <c r="H42" s="28">
        <f t="shared" si="4"/>
        <v>0</v>
      </c>
      <c r="I42" s="28">
        <f t="shared" si="4"/>
        <v>0</v>
      </c>
      <c r="J42" s="28">
        <f t="shared" si="4"/>
        <v>0</v>
      </c>
      <c r="K42" s="28">
        <f t="shared" si="4"/>
        <v>0</v>
      </c>
      <c r="L42" s="28">
        <f t="shared" si="4"/>
        <v>0</v>
      </c>
      <c r="M42" s="28">
        <f t="shared" si="4"/>
        <v>0</v>
      </c>
      <c r="N42" s="28">
        <f t="shared" si="4"/>
        <v>0</v>
      </c>
      <c r="O42" s="28">
        <f t="shared" si="4"/>
        <v>0</v>
      </c>
      <c r="P42" s="28">
        <f t="shared" si="4"/>
        <v>0</v>
      </c>
      <c r="Q42" s="28">
        <f t="shared" si="4"/>
        <v>0</v>
      </c>
      <c r="R42" s="28">
        <f t="shared" si="4"/>
        <v>0</v>
      </c>
      <c r="S42" s="28">
        <f t="shared" si="4"/>
        <v>0</v>
      </c>
      <c r="T42" s="28">
        <f t="shared" si="4"/>
        <v>0</v>
      </c>
      <c r="U42" s="28">
        <f t="shared" si="4"/>
        <v>0</v>
      </c>
      <c r="V42" s="28">
        <f t="shared" si="4"/>
        <v>0</v>
      </c>
      <c r="W42" s="28">
        <f t="shared" si="4"/>
        <v>0</v>
      </c>
      <c r="X42" s="28">
        <f t="shared" si="4"/>
        <v>0</v>
      </c>
      <c r="Y42" s="28">
        <f t="shared" si="4"/>
        <v>0</v>
      </c>
      <c r="Z42" s="28">
        <f t="shared" si="4"/>
        <v>0</v>
      </c>
      <c r="AA42" s="28">
        <f t="shared" si="4"/>
        <v>0</v>
      </c>
      <c r="AB42" s="28">
        <f t="shared" si="4"/>
        <v>0</v>
      </c>
      <c r="AC42" s="28">
        <f t="shared" si="4"/>
        <v>0</v>
      </c>
      <c r="AD42" s="28">
        <f t="shared" si="4"/>
        <v>0</v>
      </c>
    </row>
    <row r="43" spans="1:30" x14ac:dyDescent="0.2">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row>
    <row r="44" spans="1:30" s="10" customFormat="1" x14ac:dyDescent="0.2">
      <c r="A44" s="10" t="s">
        <v>63</v>
      </c>
      <c r="C44" s="11"/>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row>
    <row r="45" spans="1:30" x14ac:dyDescent="0.2">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row>
    <row r="46" spans="1:30" x14ac:dyDescent="0.2">
      <c r="A46" s="31" t="str">
        <f>IF(A35&lt;&gt;"",A35,"")</f>
        <v>Development</v>
      </c>
      <c r="B46" s="12" t="s">
        <v>2</v>
      </c>
      <c r="C46" s="41" t="s">
        <v>64</v>
      </c>
      <c r="D46" s="13">
        <v>20</v>
      </c>
    </row>
    <row r="47" spans="1:30" x14ac:dyDescent="0.2">
      <c r="A47" s="31" t="str">
        <f t="shared" ref="A47:A52" si="5">IF(A36&lt;&gt;"",A36,"")</f>
        <v>Generator</v>
      </c>
      <c r="B47" s="12" t="s">
        <v>2</v>
      </c>
      <c r="C47" s="41"/>
      <c r="D47" s="13">
        <v>20</v>
      </c>
    </row>
    <row r="48" spans="1:30" x14ac:dyDescent="0.2">
      <c r="A48" s="31" t="str">
        <f t="shared" si="5"/>
        <v>Network</v>
      </c>
      <c r="B48" s="12" t="s">
        <v>2</v>
      </c>
      <c r="C48" s="41"/>
      <c r="D48" s="13">
        <v>20</v>
      </c>
    </row>
    <row r="49" spans="1:30" x14ac:dyDescent="0.2">
      <c r="A49" s="31" t="str">
        <f t="shared" si="5"/>
        <v>Land</v>
      </c>
      <c r="B49" s="12" t="s">
        <v>2</v>
      </c>
      <c r="C49" s="41"/>
      <c r="D49" s="13">
        <v>20</v>
      </c>
    </row>
    <row r="50" spans="1:30" x14ac:dyDescent="0.2">
      <c r="A50" s="31" t="str">
        <f t="shared" si="5"/>
        <v>Meters</v>
      </c>
      <c r="B50" s="12" t="s">
        <v>2</v>
      </c>
      <c r="C50" s="41"/>
      <c r="D50" s="13">
        <v>20</v>
      </c>
    </row>
    <row r="51" spans="1:30" x14ac:dyDescent="0.2">
      <c r="A51" s="31" t="str">
        <f t="shared" si="5"/>
        <v/>
      </c>
      <c r="B51" s="12" t="s">
        <v>2</v>
      </c>
      <c r="C51" s="41"/>
      <c r="D51" s="13"/>
    </row>
    <row r="52" spans="1:30" x14ac:dyDescent="0.2">
      <c r="A52" s="31" t="str">
        <f t="shared" si="5"/>
        <v/>
      </c>
      <c r="B52" s="12" t="s">
        <v>2</v>
      </c>
      <c r="C52" s="41"/>
      <c r="D52" s="13"/>
    </row>
    <row r="53" spans="1:30" x14ac:dyDescent="0.2">
      <c r="D53" s="28"/>
    </row>
    <row r="54" spans="1:30" s="10" customFormat="1" x14ac:dyDescent="0.2">
      <c r="A54" s="10" t="s">
        <v>65</v>
      </c>
      <c r="C54" s="11"/>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row>
    <row r="55" spans="1:30" x14ac:dyDescent="0.2">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row>
    <row r="56" spans="1:30" x14ac:dyDescent="0.2">
      <c r="A56" s="12" t="s">
        <v>66</v>
      </c>
      <c r="B56" s="12" t="s">
        <v>4</v>
      </c>
      <c r="C56" s="19" t="s">
        <v>67</v>
      </c>
      <c r="D56" s="32"/>
      <c r="E56" s="32">
        <v>0.9</v>
      </c>
      <c r="F56" s="32">
        <v>0.9</v>
      </c>
      <c r="G56" s="32">
        <v>0.9</v>
      </c>
      <c r="H56" s="32">
        <v>0.9</v>
      </c>
      <c r="I56" s="32">
        <v>0.9</v>
      </c>
      <c r="J56" s="32">
        <v>0.9</v>
      </c>
      <c r="K56" s="32">
        <v>0.9</v>
      </c>
      <c r="L56" s="32">
        <v>0.9</v>
      </c>
      <c r="M56" s="32">
        <v>0.9</v>
      </c>
      <c r="N56" s="32">
        <v>0.9</v>
      </c>
      <c r="O56" s="32">
        <v>0.9</v>
      </c>
      <c r="P56" s="32">
        <v>0.9</v>
      </c>
      <c r="Q56" s="32">
        <v>0.9</v>
      </c>
      <c r="R56" s="32">
        <v>0.9</v>
      </c>
      <c r="S56" s="32">
        <v>0.9</v>
      </c>
      <c r="T56" s="32">
        <v>0.9</v>
      </c>
      <c r="U56" s="32">
        <v>0.9</v>
      </c>
      <c r="V56" s="32">
        <v>0.9</v>
      </c>
      <c r="W56" s="32">
        <v>0.9</v>
      </c>
      <c r="X56" s="32">
        <v>0.9</v>
      </c>
      <c r="Y56" s="32">
        <v>0.9</v>
      </c>
      <c r="Z56" s="32">
        <v>0.9</v>
      </c>
      <c r="AA56" s="32">
        <v>0.9</v>
      </c>
      <c r="AB56" s="32">
        <v>0.9</v>
      </c>
      <c r="AC56" s="32">
        <v>0.9</v>
      </c>
      <c r="AD56" s="32">
        <v>0.9</v>
      </c>
    </row>
    <row r="57" spans="1:30" x14ac:dyDescent="0.2">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row>
    <row r="58" spans="1:30" s="10" customFormat="1" x14ac:dyDescent="0.2">
      <c r="A58" s="10" t="s">
        <v>68</v>
      </c>
      <c r="C58" s="11"/>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row>
    <row r="59" spans="1:30" x14ac:dyDescent="0.2">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0" x14ac:dyDescent="0.2">
      <c r="A60" s="26" t="s">
        <v>69</v>
      </c>
      <c r="B60" s="12" t="s">
        <v>6</v>
      </c>
      <c r="C60" s="41" t="s">
        <v>70</v>
      </c>
      <c r="D60" s="30"/>
      <c r="E60" s="30">
        <v>50000</v>
      </c>
      <c r="F60" s="30">
        <v>50000</v>
      </c>
      <c r="G60" s="30">
        <v>50000</v>
      </c>
      <c r="H60" s="30">
        <v>50000</v>
      </c>
      <c r="I60" s="30">
        <v>50000</v>
      </c>
      <c r="J60" s="30">
        <v>50000</v>
      </c>
      <c r="K60" s="30">
        <v>50000</v>
      </c>
      <c r="L60" s="30">
        <v>50000</v>
      </c>
      <c r="M60" s="30">
        <v>50000</v>
      </c>
      <c r="N60" s="30">
        <v>50000</v>
      </c>
      <c r="O60" s="30">
        <v>50000</v>
      </c>
      <c r="P60" s="30">
        <v>50000</v>
      </c>
      <c r="Q60" s="30">
        <v>50000</v>
      </c>
      <c r="R60" s="30">
        <v>50000</v>
      </c>
      <c r="S60" s="30">
        <v>50000</v>
      </c>
      <c r="T60" s="30">
        <v>50000</v>
      </c>
      <c r="U60" s="30">
        <v>50000</v>
      </c>
      <c r="V60" s="30">
        <v>50000</v>
      </c>
      <c r="W60" s="30">
        <v>50000</v>
      </c>
      <c r="X60" s="30">
        <v>50000</v>
      </c>
      <c r="Y60" s="30">
        <v>50000</v>
      </c>
      <c r="Z60" s="30">
        <v>50000</v>
      </c>
      <c r="AA60" s="30">
        <v>50000</v>
      </c>
      <c r="AB60" s="30">
        <v>50000</v>
      </c>
      <c r="AC60" s="30">
        <v>50000</v>
      </c>
      <c r="AD60" s="30">
        <v>50000</v>
      </c>
    </row>
    <row r="61" spans="1:30" x14ac:dyDescent="0.2">
      <c r="A61" s="26" t="s">
        <v>71</v>
      </c>
      <c r="B61" s="12" t="s">
        <v>6</v>
      </c>
      <c r="C61" s="41"/>
      <c r="D61" s="30"/>
      <c r="E61" s="30">
        <v>50000</v>
      </c>
      <c r="F61" s="30">
        <v>50000</v>
      </c>
      <c r="G61" s="30">
        <v>50000</v>
      </c>
      <c r="H61" s="30">
        <v>50000</v>
      </c>
      <c r="I61" s="30">
        <v>50000</v>
      </c>
      <c r="J61" s="30">
        <v>50000</v>
      </c>
      <c r="K61" s="30">
        <v>50000</v>
      </c>
      <c r="L61" s="30">
        <v>50000</v>
      </c>
      <c r="M61" s="30">
        <v>50000</v>
      </c>
      <c r="N61" s="30">
        <v>50000</v>
      </c>
      <c r="O61" s="30">
        <v>50000</v>
      </c>
      <c r="P61" s="30">
        <v>50000</v>
      </c>
      <c r="Q61" s="30">
        <v>50000</v>
      </c>
      <c r="R61" s="30">
        <v>50000</v>
      </c>
      <c r="S61" s="30">
        <v>50000</v>
      </c>
      <c r="T61" s="30">
        <v>50000</v>
      </c>
      <c r="U61" s="30">
        <v>50000</v>
      </c>
      <c r="V61" s="30">
        <v>50000</v>
      </c>
      <c r="W61" s="30">
        <v>50000</v>
      </c>
      <c r="X61" s="30">
        <v>50000</v>
      </c>
      <c r="Y61" s="30">
        <v>50000</v>
      </c>
      <c r="Z61" s="30">
        <v>50000</v>
      </c>
      <c r="AA61" s="30">
        <v>50000</v>
      </c>
      <c r="AB61" s="30">
        <v>50000</v>
      </c>
      <c r="AC61" s="30">
        <v>50000</v>
      </c>
      <c r="AD61" s="30">
        <v>50000</v>
      </c>
    </row>
    <row r="62" spans="1:30" x14ac:dyDescent="0.2">
      <c r="A62" s="26"/>
      <c r="B62" s="12" t="s">
        <v>6</v>
      </c>
      <c r="C62" s="41"/>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row>
    <row r="63" spans="1:30" x14ac:dyDescent="0.2">
      <c r="A63" s="26"/>
      <c r="B63" s="12" t="s">
        <v>6</v>
      </c>
      <c r="C63" s="41"/>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row>
    <row r="64" spans="1:30" x14ac:dyDescent="0.2">
      <c r="A64" s="26"/>
      <c r="B64" s="12" t="s">
        <v>6</v>
      </c>
      <c r="C64" s="41"/>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row>
    <row r="65" spans="1:30" x14ac:dyDescent="0.2">
      <c r="A65" s="26"/>
      <c r="B65" s="12" t="s">
        <v>6</v>
      </c>
      <c r="C65" s="41"/>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row>
    <row r="66" spans="1:30" x14ac:dyDescent="0.2">
      <c r="A66" s="26"/>
      <c r="B66" s="12" t="s">
        <v>6</v>
      </c>
      <c r="C66" s="41"/>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row>
    <row r="67" spans="1:30" x14ac:dyDescent="0.2">
      <c r="A67" s="12" t="s">
        <v>32</v>
      </c>
      <c r="B67" s="12" t="s">
        <v>6</v>
      </c>
      <c r="D67" s="28">
        <f>SUM(D60:D66)</f>
        <v>0</v>
      </c>
      <c r="E67" s="28">
        <f t="shared" ref="E67:F67" si="6">SUM(E60:E66)</f>
        <v>100000</v>
      </c>
      <c r="F67" s="28">
        <f t="shared" si="6"/>
        <v>100000</v>
      </c>
      <c r="G67" s="28">
        <f t="shared" ref="G67" si="7">SUM(G60:G66)</f>
        <v>100000</v>
      </c>
      <c r="H67" s="28">
        <f t="shared" ref="H67:AD67" si="8">SUM(H60:H66)</f>
        <v>100000</v>
      </c>
      <c r="I67" s="28">
        <f t="shared" si="8"/>
        <v>100000</v>
      </c>
      <c r="J67" s="28">
        <f t="shared" si="8"/>
        <v>100000</v>
      </c>
      <c r="K67" s="28">
        <f t="shared" si="8"/>
        <v>100000</v>
      </c>
      <c r="L67" s="28">
        <f t="shared" si="8"/>
        <v>100000</v>
      </c>
      <c r="M67" s="28">
        <f t="shared" si="8"/>
        <v>100000</v>
      </c>
      <c r="N67" s="28">
        <f t="shared" si="8"/>
        <v>100000</v>
      </c>
      <c r="O67" s="28">
        <f t="shared" si="8"/>
        <v>100000</v>
      </c>
      <c r="P67" s="28">
        <f t="shared" si="8"/>
        <v>100000</v>
      </c>
      <c r="Q67" s="28">
        <f t="shared" si="8"/>
        <v>100000</v>
      </c>
      <c r="R67" s="28">
        <f t="shared" si="8"/>
        <v>100000</v>
      </c>
      <c r="S67" s="28">
        <f t="shared" si="8"/>
        <v>100000</v>
      </c>
      <c r="T67" s="28">
        <f t="shared" si="8"/>
        <v>100000</v>
      </c>
      <c r="U67" s="28">
        <f t="shared" si="8"/>
        <v>100000</v>
      </c>
      <c r="V67" s="28">
        <f t="shared" si="8"/>
        <v>100000</v>
      </c>
      <c r="W67" s="28">
        <f t="shared" si="8"/>
        <v>100000</v>
      </c>
      <c r="X67" s="28">
        <f t="shared" si="8"/>
        <v>100000</v>
      </c>
      <c r="Y67" s="28">
        <f t="shared" si="8"/>
        <v>100000</v>
      </c>
      <c r="Z67" s="28">
        <f t="shared" si="8"/>
        <v>100000</v>
      </c>
      <c r="AA67" s="28">
        <f t="shared" si="8"/>
        <v>100000</v>
      </c>
      <c r="AB67" s="28">
        <f t="shared" si="8"/>
        <v>100000</v>
      </c>
      <c r="AC67" s="28">
        <f t="shared" si="8"/>
        <v>100000</v>
      </c>
      <c r="AD67" s="28">
        <f t="shared" si="8"/>
        <v>100000</v>
      </c>
    </row>
    <row r="68" spans="1:30" x14ac:dyDescent="0.2">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spans="1:30" s="10" customFormat="1" x14ac:dyDescent="0.2">
      <c r="A69" s="10" t="s">
        <v>72</v>
      </c>
      <c r="C69" s="11"/>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row>
    <row r="70" spans="1:30" x14ac:dyDescent="0.2">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spans="1:30" s="15" customFormat="1" x14ac:dyDescent="0.2">
      <c r="A71" s="15" t="s">
        <v>12</v>
      </c>
      <c r="B71" s="12" t="s">
        <v>4</v>
      </c>
      <c r="C71" s="19" t="s">
        <v>73</v>
      </c>
      <c r="D71" s="32">
        <v>0.7</v>
      </c>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row>
    <row r="72" spans="1:30" s="15" customFormat="1" x14ac:dyDescent="0.2">
      <c r="A72" s="15" t="s">
        <v>35</v>
      </c>
      <c r="B72" s="12" t="s">
        <v>2</v>
      </c>
      <c r="C72" s="19" t="s">
        <v>74</v>
      </c>
      <c r="D72" s="30">
        <v>10</v>
      </c>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row>
    <row r="73" spans="1:30" s="15" customFormat="1" x14ac:dyDescent="0.2">
      <c r="A73" s="15" t="s">
        <v>8</v>
      </c>
      <c r="B73" s="12"/>
      <c r="C73" s="19"/>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row>
    <row r="74" spans="1:30" s="15" customFormat="1" x14ac:dyDescent="0.2">
      <c r="A74" s="34" t="s">
        <v>75</v>
      </c>
      <c r="B74" s="12" t="s">
        <v>4</v>
      </c>
      <c r="C74" s="19" t="s">
        <v>76</v>
      </c>
      <c r="D74" s="32">
        <v>0.16</v>
      </c>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row>
    <row r="75" spans="1:30" s="15" customFormat="1" x14ac:dyDescent="0.2">
      <c r="A75" s="34" t="s">
        <v>77</v>
      </c>
      <c r="B75" s="12" t="s">
        <v>4</v>
      </c>
      <c r="C75" s="19" t="s">
        <v>78</v>
      </c>
      <c r="D75" s="32">
        <f>D74-D83</f>
        <v>0.12</v>
      </c>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row>
    <row r="76" spans="1:30" s="15" customFormat="1" x14ac:dyDescent="0.2">
      <c r="A76" s="15" t="s">
        <v>79</v>
      </c>
      <c r="C76" s="19"/>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row>
    <row r="77" spans="1:30" s="15" customFormat="1" x14ac:dyDescent="0.2">
      <c r="A77" s="34" t="s">
        <v>75</v>
      </c>
      <c r="B77" s="12" t="s">
        <v>4</v>
      </c>
      <c r="C77" s="19" t="s">
        <v>80</v>
      </c>
      <c r="D77" s="32">
        <v>0.22</v>
      </c>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row>
    <row r="78" spans="1:30" s="15" customFormat="1" x14ac:dyDescent="0.2">
      <c r="A78" s="34" t="s">
        <v>77</v>
      </c>
      <c r="B78" s="12" t="s">
        <v>4</v>
      </c>
      <c r="C78" s="19" t="s">
        <v>81</v>
      </c>
      <c r="D78" s="32">
        <f>D77-D83</f>
        <v>0.18</v>
      </c>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row>
    <row r="79" spans="1:30" x14ac:dyDescent="0.2">
      <c r="A79" s="12" t="s">
        <v>82</v>
      </c>
      <c r="B79" s="12" t="s">
        <v>4</v>
      </c>
      <c r="C79" s="19" t="s">
        <v>83</v>
      </c>
      <c r="D79" s="35">
        <f>D75*D71+D78*(1-D71)</f>
        <v>0.13800000000000001</v>
      </c>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spans="1:30" x14ac:dyDescent="0.2">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row>
    <row r="81" spans="1:30" s="10" customFormat="1" x14ac:dyDescent="0.2">
      <c r="A81" s="10" t="s">
        <v>3</v>
      </c>
      <c r="C81" s="11"/>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row>
    <row r="82" spans="1:30" x14ac:dyDescent="0.2">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row>
    <row r="83" spans="1:30" s="15" customFormat="1" x14ac:dyDescent="0.2">
      <c r="A83" s="15" t="s">
        <v>84</v>
      </c>
      <c r="B83" s="12" t="s">
        <v>4</v>
      </c>
      <c r="C83" s="19" t="s">
        <v>85</v>
      </c>
      <c r="D83" s="32">
        <v>0.04</v>
      </c>
      <c r="E83" s="32">
        <f>D83</f>
        <v>0.04</v>
      </c>
      <c r="F83" s="32">
        <f t="shared" ref="F83:AD83" si="9">E83</f>
        <v>0.04</v>
      </c>
      <c r="G83" s="32">
        <f t="shared" si="9"/>
        <v>0.04</v>
      </c>
      <c r="H83" s="32">
        <f t="shared" si="9"/>
        <v>0.04</v>
      </c>
      <c r="I83" s="32">
        <f t="shared" si="9"/>
        <v>0.04</v>
      </c>
      <c r="J83" s="32">
        <f t="shared" si="9"/>
        <v>0.04</v>
      </c>
      <c r="K83" s="32">
        <f t="shared" si="9"/>
        <v>0.04</v>
      </c>
      <c r="L83" s="32">
        <f t="shared" si="9"/>
        <v>0.04</v>
      </c>
      <c r="M83" s="32">
        <f t="shared" si="9"/>
        <v>0.04</v>
      </c>
      <c r="N83" s="32">
        <f t="shared" si="9"/>
        <v>0.04</v>
      </c>
      <c r="O83" s="32">
        <f t="shared" si="9"/>
        <v>0.04</v>
      </c>
      <c r="P83" s="32">
        <f t="shared" si="9"/>
        <v>0.04</v>
      </c>
      <c r="Q83" s="32">
        <f t="shared" si="9"/>
        <v>0.04</v>
      </c>
      <c r="R83" s="32">
        <f t="shared" si="9"/>
        <v>0.04</v>
      </c>
      <c r="S83" s="32">
        <f t="shared" si="9"/>
        <v>0.04</v>
      </c>
      <c r="T83" s="32">
        <f t="shared" si="9"/>
        <v>0.04</v>
      </c>
      <c r="U83" s="32">
        <f t="shared" si="9"/>
        <v>0.04</v>
      </c>
      <c r="V83" s="32">
        <f t="shared" si="9"/>
        <v>0.04</v>
      </c>
      <c r="W83" s="32">
        <f t="shared" si="9"/>
        <v>0.04</v>
      </c>
      <c r="X83" s="32">
        <f t="shared" si="9"/>
        <v>0.04</v>
      </c>
      <c r="Y83" s="32">
        <f t="shared" si="9"/>
        <v>0.04</v>
      </c>
      <c r="Z83" s="32">
        <f t="shared" si="9"/>
        <v>0.04</v>
      </c>
      <c r="AA83" s="32">
        <f t="shared" si="9"/>
        <v>0.04</v>
      </c>
      <c r="AB83" s="32">
        <f t="shared" si="9"/>
        <v>0.04</v>
      </c>
      <c r="AC83" s="32">
        <f t="shared" si="9"/>
        <v>0.04</v>
      </c>
      <c r="AD83" s="32">
        <f t="shared" si="9"/>
        <v>0.04</v>
      </c>
    </row>
    <row r="84" spans="1:30" x14ac:dyDescent="0.2">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row>
    <row r="85" spans="1:30" x14ac:dyDescent="0.2">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row>
    <row r="86" spans="1:30" x14ac:dyDescent="0.2">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row>
    <row r="87" spans="1:30" x14ac:dyDescent="0.2">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row>
    <row r="88" spans="1:30" x14ac:dyDescent="0.2">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row>
    <row r="89" spans="1:30" x14ac:dyDescent="0.2">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spans="1:30" x14ac:dyDescent="0.2">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spans="1:30" x14ac:dyDescent="0.2">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row>
    <row r="92" spans="1:30" x14ac:dyDescent="0.2">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row>
    <row r="93" spans="1:30" x14ac:dyDescent="0.2">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row>
    <row r="94" spans="1:30" x14ac:dyDescent="0.2">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row>
    <row r="95" spans="1:30" x14ac:dyDescent="0.2">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row>
    <row r="96" spans="1:30" x14ac:dyDescent="0.2">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row>
    <row r="97" spans="4:30" x14ac:dyDescent="0.2">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row>
    <row r="98" spans="4:30" x14ac:dyDescent="0.2">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row>
    <row r="99" spans="4:30" x14ac:dyDescent="0.2">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row>
    <row r="100" spans="4:30" x14ac:dyDescent="0.2">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row>
    <row r="101" spans="4:30" x14ac:dyDescent="0.2">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row>
    <row r="102" spans="4:30" x14ac:dyDescent="0.2">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row>
    <row r="103" spans="4:30" x14ac:dyDescent="0.2">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spans="4:30" x14ac:dyDescent="0.2">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spans="4:30" x14ac:dyDescent="0.2">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spans="4:30" x14ac:dyDescent="0.2">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spans="4:30" x14ac:dyDescent="0.2">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spans="4:30" x14ac:dyDescent="0.2">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row>
    <row r="109" spans="4:30" x14ac:dyDescent="0.2">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row>
    <row r="110" spans="4:30" x14ac:dyDescent="0.2">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row>
    <row r="111" spans="4:30" x14ac:dyDescent="0.2">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row>
    <row r="112" spans="4:30" x14ac:dyDescent="0.2">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row>
    <row r="113" spans="4:30" x14ac:dyDescent="0.2">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row>
    <row r="114" spans="4:30" x14ac:dyDescent="0.2">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row>
    <row r="115" spans="4:30" x14ac:dyDescent="0.2">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row>
    <row r="116" spans="4:30" x14ac:dyDescent="0.2">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row>
    <row r="117" spans="4:30" x14ac:dyDescent="0.2">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row>
    <row r="118" spans="4:30" x14ac:dyDescent="0.2">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row>
    <row r="119" spans="4:30" x14ac:dyDescent="0.2">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row>
    <row r="120" spans="4:30" x14ac:dyDescent="0.2">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row>
    <row r="121" spans="4:30" x14ac:dyDescent="0.2">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row>
    <row r="122" spans="4:30" x14ac:dyDescent="0.2">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row>
    <row r="123" spans="4:30" x14ac:dyDescent="0.2">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row>
    <row r="124" spans="4:30" x14ac:dyDescent="0.2">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row>
    <row r="125" spans="4:30" x14ac:dyDescent="0.2">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row>
    <row r="126" spans="4:30" x14ac:dyDescent="0.2">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row>
    <row r="127" spans="4:30" x14ac:dyDescent="0.2">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row>
    <row r="128" spans="4:30" x14ac:dyDescent="0.2">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row>
    <row r="129" spans="4:30" x14ac:dyDescent="0.2">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row>
    <row r="130" spans="4:30" x14ac:dyDescent="0.2">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row>
    <row r="131" spans="4:30" x14ac:dyDescent="0.2">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row>
    <row r="132" spans="4:30" x14ac:dyDescent="0.2">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row>
    <row r="133" spans="4:30" x14ac:dyDescent="0.2">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row>
    <row r="134" spans="4:30" x14ac:dyDescent="0.2">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row>
    <row r="135" spans="4:30" x14ac:dyDescent="0.2">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row>
    <row r="136" spans="4:30" x14ac:dyDescent="0.2">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row>
    <row r="137" spans="4:30" x14ac:dyDescent="0.2">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row>
    <row r="138" spans="4:30" x14ac:dyDescent="0.2">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row>
    <row r="139" spans="4:30" x14ac:dyDescent="0.2">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row>
    <row r="140" spans="4:30" x14ac:dyDescent="0.2">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row>
    <row r="141" spans="4:30" x14ac:dyDescent="0.2">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row>
    <row r="142" spans="4:30" x14ac:dyDescent="0.2">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row>
    <row r="143" spans="4:30" x14ac:dyDescent="0.2">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row>
    <row r="144" spans="4:30" x14ac:dyDescent="0.2">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row>
    <row r="145" spans="4:30" x14ac:dyDescent="0.2">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row>
    <row r="146" spans="4:30" x14ac:dyDescent="0.2">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row>
    <row r="147" spans="4:30" x14ac:dyDescent="0.2">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row>
    <row r="148" spans="4:30" x14ac:dyDescent="0.2">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row>
    <row r="149" spans="4:30" x14ac:dyDescent="0.2">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row>
    <row r="150" spans="4:30" x14ac:dyDescent="0.2">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row>
    <row r="151" spans="4:30" x14ac:dyDescent="0.2">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row>
    <row r="152" spans="4:30" x14ac:dyDescent="0.2">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row>
    <row r="153" spans="4:30" x14ac:dyDescent="0.2">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row>
    <row r="154" spans="4:30" x14ac:dyDescent="0.2">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row>
    <row r="155" spans="4:30" x14ac:dyDescent="0.2">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row>
    <row r="156" spans="4:30" x14ac:dyDescent="0.2">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row>
    <row r="157" spans="4:30" x14ac:dyDescent="0.2">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row>
    <row r="158" spans="4:30" x14ac:dyDescent="0.2">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row>
    <row r="159" spans="4:30" x14ac:dyDescent="0.2">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row>
    <row r="160" spans="4:30" x14ac:dyDescent="0.2">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row>
    <row r="161" spans="4:30" x14ac:dyDescent="0.2">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row>
    <row r="162" spans="4:30" x14ac:dyDescent="0.2">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row>
    <row r="163" spans="4:30" x14ac:dyDescent="0.2">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row>
    <row r="164" spans="4:30" x14ac:dyDescent="0.2">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row>
    <row r="165" spans="4:30" x14ac:dyDescent="0.2">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row>
    <row r="166" spans="4:30" x14ac:dyDescent="0.2">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row>
    <row r="167" spans="4:30" x14ac:dyDescent="0.2">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row>
    <row r="168" spans="4:30" x14ac:dyDescent="0.2">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row>
    <row r="169" spans="4:30" x14ac:dyDescent="0.2">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row>
    <row r="170" spans="4:30" x14ac:dyDescent="0.2">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row>
    <row r="171" spans="4:30" x14ac:dyDescent="0.2">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row>
    <row r="172" spans="4:30" x14ac:dyDescent="0.2">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row>
    <row r="173" spans="4:30" x14ac:dyDescent="0.2">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row>
    <row r="174" spans="4:30" x14ac:dyDescent="0.2">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row>
    <row r="175" spans="4:30" x14ac:dyDescent="0.2">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row>
    <row r="176" spans="4:30" x14ac:dyDescent="0.2">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row>
    <row r="177" spans="4:30" x14ac:dyDescent="0.2">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row>
    <row r="178" spans="4:30" x14ac:dyDescent="0.2">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row>
    <row r="179" spans="4:30" x14ac:dyDescent="0.2">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row>
    <row r="180" spans="4:30" x14ac:dyDescent="0.2">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row>
    <row r="181" spans="4:30" x14ac:dyDescent="0.2">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row>
    <row r="182" spans="4:30" x14ac:dyDescent="0.2">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4:30" x14ac:dyDescent="0.2">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row>
    <row r="184" spans="4:30" x14ac:dyDescent="0.2">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row>
    <row r="185" spans="4:30" x14ac:dyDescent="0.2">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row>
    <row r="186" spans="4:30" x14ac:dyDescent="0.2">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row>
    <row r="187" spans="4:30" x14ac:dyDescent="0.2">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row>
    <row r="188" spans="4:30" x14ac:dyDescent="0.2">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row>
    <row r="189" spans="4:30" x14ac:dyDescent="0.2">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row>
    <row r="190" spans="4:30" x14ac:dyDescent="0.2">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row>
    <row r="191" spans="4:30" x14ac:dyDescent="0.2">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row>
    <row r="192" spans="4:30" x14ac:dyDescent="0.2">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row>
    <row r="193" spans="4:30" x14ac:dyDescent="0.2">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row>
    <row r="194" spans="4:30" x14ac:dyDescent="0.2">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row>
    <row r="195" spans="4:30" x14ac:dyDescent="0.2">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row>
    <row r="196" spans="4:30" x14ac:dyDescent="0.2">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row>
    <row r="197" spans="4:30" x14ac:dyDescent="0.2">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row>
    <row r="198" spans="4:30" x14ac:dyDescent="0.2">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row>
    <row r="199" spans="4:30" x14ac:dyDescent="0.2">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row>
    <row r="200" spans="4:30" x14ac:dyDescent="0.2">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row>
    <row r="201" spans="4:30" x14ac:dyDescent="0.2">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row>
    <row r="202" spans="4:30" x14ac:dyDescent="0.2">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row>
    <row r="203" spans="4:30" x14ac:dyDescent="0.2">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row>
    <row r="204" spans="4:30" x14ac:dyDescent="0.2">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row>
    <row r="205" spans="4:30" x14ac:dyDescent="0.2">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row>
    <row r="206" spans="4:30" x14ac:dyDescent="0.2">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row>
    <row r="207" spans="4:30" x14ac:dyDescent="0.2">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row>
    <row r="208" spans="4:30" x14ac:dyDescent="0.2">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row>
    <row r="209" spans="4:30" x14ac:dyDescent="0.2">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row>
    <row r="210" spans="4:30" x14ac:dyDescent="0.2">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row>
    <row r="211" spans="4:30" x14ac:dyDescent="0.2">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row>
    <row r="212" spans="4:30" x14ac:dyDescent="0.2">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row>
    <row r="213" spans="4:30" x14ac:dyDescent="0.2">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row>
    <row r="214" spans="4:30" x14ac:dyDescent="0.2">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row>
    <row r="215" spans="4:30" x14ac:dyDescent="0.2">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row>
    <row r="216" spans="4:30" x14ac:dyDescent="0.2">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row>
    <row r="217" spans="4:30" x14ac:dyDescent="0.2">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row>
    <row r="218" spans="4:30" x14ac:dyDescent="0.2">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row>
    <row r="219" spans="4:30" x14ac:dyDescent="0.2">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row>
  </sheetData>
  <mergeCells count="5">
    <mergeCell ref="C13:C19"/>
    <mergeCell ref="C24:C30"/>
    <mergeCell ref="C35:C41"/>
    <mergeCell ref="C46:C52"/>
    <mergeCell ref="C60:C66"/>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652B639-5D71-475E-9C94-A6FFCC8D4100}">
            <xm:f>ISERROR('\Richard\Google Drive\Docs - Work\ECA\Projects worked on\Kenya RES 386\Docs\Richard Work in Progress\[FiT Model v2.xlsm]Inputs'!#REF!)=TRUE</xm:f>
            <x14:dxf>
              <font>
                <color theme="0" tint="-0.34998626667073579"/>
              </font>
            </x14:dxf>
          </x14:cfRule>
          <xm:sqref>D1:G1</xm:sqref>
        </x14:conditionalFormatting>
        <x14:conditionalFormatting xmlns:xm="http://schemas.microsoft.com/office/excel/2006/main">
          <x14:cfRule type="expression" priority="2" id="{589A6536-55AD-4289-A9C8-E5853F758F30}">
            <xm:f>ISERROR('\Richard\Google Drive\Docs - Work\ECA\Projects worked on\Kenya RES 386\Docs\Richard Work in Progress\[FiT Model v2.xlsm]Inputs'!#REF!)=TRUE</xm:f>
            <x14:dxf>
              <font>
                <color theme="0" tint="-0.34998626667073579"/>
              </font>
            </x14:dxf>
          </x14:cfRule>
          <xm:sqref>H1:K1</xm:sqref>
        </x14:conditionalFormatting>
        <x14:conditionalFormatting xmlns:xm="http://schemas.microsoft.com/office/excel/2006/main">
          <x14:cfRule type="expression" priority="3" id="{BADF3E44-F00E-4236-8C8A-C3AA13B64C13}">
            <xm:f>ISERROR('\Richard\Google Drive\Docs - Work\ECA\Projects worked on\Kenya RES 386\Docs\Richard Work in Progress\[FiT Model v2.xlsm]Inputs'!#REF!)=TRUE</xm:f>
            <x14:dxf>
              <font>
                <color theme="0" tint="-0.34998626667073579"/>
              </font>
            </x14:dxf>
          </x14:cfRule>
          <xm:sqref>M1:U1</xm:sqref>
        </x14:conditionalFormatting>
        <x14:conditionalFormatting xmlns:xm="http://schemas.microsoft.com/office/excel/2006/main">
          <x14:cfRule type="expression" priority="4" id="{628D775C-96FA-48D5-BC6B-E37E8C664284}">
            <xm:f>ISERROR('\Richard\Google Drive\Docs - Work\ECA\Projects worked on\Kenya RES 386\Docs\Richard Work in Progress\[FiT Model v2.xlsm]Inputs'!#REF!)=TRUE</xm:f>
            <x14:dxf>
              <font>
                <color theme="0" tint="-0.34998626667073579"/>
              </font>
            </x14:dxf>
          </x14:cfRule>
          <xm:sqref>L1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6"/>
  <sheetViews>
    <sheetView workbookViewId="0">
      <pane xSplit="1" ySplit="3" topLeftCell="B13" activePane="bottomRight" state="frozen"/>
      <selection activeCell="B38" sqref="B38"/>
      <selection pane="topRight" activeCell="B38" sqref="B38"/>
      <selection pane="bottomLeft" activeCell="B38" sqref="B38"/>
      <selection pane="bottomRight" sqref="A1:XFD3"/>
    </sheetView>
  </sheetViews>
  <sheetFormatPr defaultRowHeight="12.75" x14ac:dyDescent="0.2"/>
  <cols>
    <col min="1" max="1" width="27.28515625" style="12" customWidth="1"/>
    <col min="2" max="2" width="10.42578125" style="12" customWidth="1"/>
    <col min="3" max="3" width="20.7109375" style="19" customWidth="1"/>
    <col min="4" max="30" width="11.5703125" style="12" customWidth="1"/>
    <col min="31" max="16384" width="9.140625" style="12"/>
  </cols>
  <sheetData>
    <row r="1" spans="1:30" s="1" customFormat="1" ht="15.75" x14ac:dyDescent="0.25">
      <c r="A1" s="23" t="str">
        <f>[1]TITLE!Title_Project</f>
        <v>Retail Tariff Tool</v>
      </c>
      <c r="B1" s="3"/>
      <c r="C1" s="22"/>
      <c r="D1" s="22"/>
    </row>
    <row r="2" spans="1:30" s="1" customFormat="1" ht="15" x14ac:dyDescent="0.25">
      <c r="A2" s="1" t="s">
        <v>86</v>
      </c>
      <c r="C2" s="22"/>
    </row>
    <row r="3" spans="1:30" s="2" customFormat="1" ht="15" x14ac:dyDescent="0.25">
      <c r="B3" s="2" t="s">
        <v>0</v>
      </c>
      <c r="C3" s="2" t="s">
        <v>1</v>
      </c>
      <c r="D3" s="2">
        <f>Inputs!$D$7</f>
        <v>2014</v>
      </c>
      <c r="E3" s="2">
        <f t="shared" ref="E3:AD3" si="0">D3+1</f>
        <v>2015</v>
      </c>
      <c r="F3" s="2">
        <f t="shared" si="0"/>
        <v>2016</v>
      </c>
      <c r="G3" s="2">
        <f t="shared" si="0"/>
        <v>2017</v>
      </c>
      <c r="H3" s="2">
        <f t="shared" si="0"/>
        <v>2018</v>
      </c>
      <c r="I3" s="2">
        <f t="shared" si="0"/>
        <v>2019</v>
      </c>
      <c r="J3" s="2">
        <f t="shared" si="0"/>
        <v>2020</v>
      </c>
      <c r="K3" s="2">
        <f t="shared" si="0"/>
        <v>2021</v>
      </c>
      <c r="L3" s="2">
        <f t="shared" si="0"/>
        <v>2022</v>
      </c>
      <c r="M3" s="2">
        <f t="shared" si="0"/>
        <v>2023</v>
      </c>
      <c r="N3" s="2">
        <f t="shared" si="0"/>
        <v>2024</v>
      </c>
      <c r="O3" s="2">
        <f t="shared" si="0"/>
        <v>2025</v>
      </c>
      <c r="P3" s="2">
        <f t="shared" si="0"/>
        <v>2026</v>
      </c>
      <c r="Q3" s="2">
        <f t="shared" si="0"/>
        <v>2027</v>
      </c>
      <c r="R3" s="2">
        <f t="shared" si="0"/>
        <v>2028</v>
      </c>
      <c r="S3" s="2">
        <f t="shared" si="0"/>
        <v>2029</v>
      </c>
      <c r="T3" s="2">
        <f t="shared" si="0"/>
        <v>2030</v>
      </c>
      <c r="U3" s="2">
        <f t="shared" si="0"/>
        <v>2031</v>
      </c>
      <c r="V3" s="2">
        <f t="shared" si="0"/>
        <v>2032</v>
      </c>
      <c r="W3" s="2">
        <f t="shared" si="0"/>
        <v>2033</v>
      </c>
      <c r="X3" s="2">
        <f t="shared" si="0"/>
        <v>2034</v>
      </c>
      <c r="Y3" s="2">
        <f t="shared" si="0"/>
        <v>2035</v>
      </c>
      <c r="Z3" s="2">
        <f t="shared" si="0"/>
        <v>2036</v>
      </c>
      <c r="AA3" s="2">
        <f t="shared" si="0"/>
        <v>2037</v>
      </c>
      <c r="AB3" s="2">
        <f t="shared" si="0"/>
        <v>2038</v>
      </c>
      <c r="AC3" s="2">
        <f t="shared" si="0"/>
        <v>2039</v>
      </c>
      <c r="AD3" s="2">
        <f t="shared" si="0"/>
        <v>2040</v>
      </c>
    </row>
    <row r="4" spans="1:30" s="24" customFormat="1" x14ac:dyDescent="0.25">
      <c r="C4" s="25"/>
    </row>
    <row r="5" spans="1:30" s="10" customFormat="1" x14ac:dyDescent="0.2">
      <c r="A5" s="10" t="s">
        <v>87</v>
      </c>
      <c r="C5" s="11"/>
      <c r="D5" s="29"/>
      <c r="E5" s="29"/>
      <c r="F5" s="29"/>
      <c r="G5" s="29"/>
      <c r="H5" s="29"/>
      <c r="I5" s="29"/>
      <c r="J5" s="29"/>
      <c r="K5" s="29"/>
      <c r="L5" s="29"/>
      <c r="M5" s="29"/>
      <c r="N5" s="29"/>
      <c r="O5" s="29"/>
      <c r="P5" s="29"/>
      <c r="Q5" s="29"/>
      <c r="R5" s="29"/>
      <c r="S5" s="29"/>
      <c r="T5" s="29"/>
      <c r="U5" s="29"/>
      <c r="V5" s="29"/>
      <c r="W5" s="29"/>
      <c r="X5" s="29"/>
      <c r="Y5" s="29"/>
      <c r="Z5" s="29"/>
      <c r="AA5" s="29"/>
      <c r="AB5" s="29"/>
      <c r="AC5" s="29"/>
      <c r="AD5" s="29"/>
    </row>
    <row r="6" spans="1:30" x14ac:dyDescent="0.2">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x14ac:dyDescent="0.2">
      <c r="A7" s="31" t="str">
        <f>IF(Inputs!A35&lt;&gt;"",Inputs!A35,"")</f>
        <v>Development</v>
      </c>
      <c r="B7" s="12" t="s">
        <v>6</v>
      </c>
      <c r="C7" s="41" t="s">
        <v>88</v>
      </c>
      <c r="D7" s="28">
        <v>0</v>
      </c>
      <c r="E7" s="28">
        <f>D40</f>
        <v>1000000</v>
      </c>
      <c r="F7" s="28">
        <f t="shared" ref="F7:U7" si="1">E40</f>
        <v>950000</v>
      </c>
      <c r="G7" s="28">
        <f t="shared" si="1"/>
        <v>902500</v>
      </c>
      <c r="H7" s="28">
        <f t="shared" si="1"/>
        <v>857375</v>
      </c>
      <c r="I7" s="28">
        <f t="shared" si="1"/>
        <v>814506.25</v>
      </c>
      <c r="J7" s="28">
        <f t="shared" si="1"/>
        <v>773780.9375</v>
      </c>
      <c r="K7" s="28">
        <f t="shared" si="1"/>
        <v>735091.890625</v>
      </c>
      <c r="L7" s="28">
        <f t="shared" si="1"/>
        <v>698337.29609375005</v>
      </c>
      <c r="M7" s="28">
        <f t="shared" si="1"/>
        <v>663420.4312890626</v>
      </c>
      <c r="N7" s="28">
        <f t="shared" si="1"/>
        <v>630249.40972460946</v>
      </c>
      <c r="O7" s="28">
        <f t="shared" si="1"/>
        <v>598736.93923837901</v>
      </c>
      <c r="P7" s="28">
        <f t="shared" si="1"/>
        <v>568800.09227646003</v>
      </c>
      <c r="Q7" s="28">
        <f t="shared" si="1"/>
        <v>540360.087662637</v>
      </c>
      <c r="R7" s="28">
        <f t="shared" si="1"/>
        <v>513342.08327950514</v>
      </c>
      <c r="S7" s="28">
        <f t="shared" si="1"/>
        <v>487674.97911552986</v>
      </c>
      <c r="T7" s="28">
        <f t="shared" si="1"/>
        <v>463291.23015975335</v>
      </c>
      <c r="U7" s="28">
        <f t="shared" si="1"/>
        <v>440126.66865176568</v>
      </c>
      <c r="V7" s="28">
        <f t="shared" ref="U7:AD13" si="2">U40</f>
        <v>418120.33521917742</v>
      </c>
      <c r="W7" s="28">
        <f t="shared" si="2"/>
        <v>397214.31845821853</v>
      </c>
      <c r="X7" s="28">
        <f t="shared" si="2"/>
        <v>377353.60253530758</v>
      </c>
      <c r="Y7" s="28">
        <f t="shared" si="2"/>
        <v>358485.92240854219</v>
      </c>
      <c r="Z7" s="28">
        <f t="shared" si="2"/>
        <v>340561.62628811511</v>
      </c>
      <c r="AA7" s="28">
        <f t="shared" si="2"/>
        <v>323533.54497370933</v>
      </c>
      <c r="AB7" s="28">
        <f t="shared" si="2"/>
        <v>307356.86772502388</v>
      </c>
      <c r="AC7" s="28">
        <f t="shared" si="2"/>
        <v>291989.0243387727</v>
      </c>
      <c r="AD7" s="28">
        <f t="shared" si="2"/>
        <v>277389.57312183408</v>
      </c>
    </row>
    <row r="8" spans="1:30" x14ac:dyDescent="0.2">
      <c r="A8" s="31" t="str">
        <f>IF(Inputs!A36&lt;&gt;"",Inputs!A36,"")</f>
        <v>Generator</v>
      </c>
      <c r="B8" s="12" t="s">
        <v>6</v>
      </c>
      <c r="C8" s="41"/>
      <c r="D8" s="28">
        <v>0</v>
      </c>
      <c r="E8" s="28">
        <f t="shared" ref="E8:T13" si="3">D41</f>
        <v>20000000</v>
      </c>
      <c r="F8" s="28">
        <f t="shared" si="3"/>
        <v>19000000</v>
      </c>
      <c r="G8" s="28">
        <f t="shared" si="3"/>
        <v>18050000</v>
      </c>
      <c r="H8" s="28">
        <f t="shared" si="3"/>
        <v>17147500</v>
      </c>
      <c r="I8" s="28">
        <f t="shared" si="3"/>
        <v>16290125</v>
      </c>
      <c r="J8" s="28">
        <f t="shared" si="3"/>
        <v>15475618.75</v>
      </c>
      <c r="K8" s="28">
        <f t="shared" si="3"/>
        <v>14701837.8125</v>
      </c>
      <c r="L8" s="28">
        <f t="shared" si="3"/>
        <v>13966745.921875</v>
      </c>
      <c r="M8" s="28">
        <f t="shared" si="3"/>
        <v>13268408.625781249</v>
      </c>
      <c r="N8" s="28">
        <f t="shared" si="3"/>
        <v>12604988.194492187</v>
      </c>
      <c r="O8" s="28">
        <f t="shared" si="3"/>
        <v>11974738.784767577</v>
      </c>
      <c r="P8" s="28">
        <f t="shared" si="3"/>
        <v>11376001.845529199</v>
      </c>
      <c r="Q8" s="28">
        <f t="shared" si="3"/>
        <v>10807201.753252739</v>
      </c>
      <c r="R8" s="28">
        <f t="shared" si="3"/>
        <v>10266841.665590102</v>
      </c>
      <c r="S8" s="28">
        <f t="shared" si="3"/>
        <v>9753499.5823105965</v>
      </c>
      <c r="T8" s="28">
        <f t="shared" si="3"/>
        <v>9265824.6031950675</v>
      </c>
      <c r="U8" s="28">
        <f t="shared" si="2"/>
        <v>8802533.3730353136</v>
      </c>
      <c r="V8" s="28">
        <f t="shared" si="2"/>
        <v>8362406.7043835483</v>
      </c>
      <c r="W8" s="28">
        <f t="shared" si="2"/>
        <v>7944286.3691643709</v>
      </c>
      <c r="X8" s="28">
        <f t="shared" si="2"/>
        <v>7547072.0507061528</v>
      </c>
      <c r="Y8" s="28">
        <f t="shared" si="2"/>
        <v>7169718.4481708454</v>
      </c>
      <c r="Z8" s="28">
        <f t="shared" si="2"/>
        <v>6811232.5257623028</v>
      </c>
      <c r="AA8" s="28">
        <f t="shared" si="2"/>
        <v>6470670.8994741878</v>
      </c>
      <c r="AB8" s="28">
        <f t="shared" si="2"/>
        <v>6147137.3545004781</v>
      </c>
      <c r="AC8" s="28">
        <f t="shared" si="2"/>
        <v>5839780.4867754541</v>
      </c>
      <c r="AD8" s="28">
        <f t="shared" si="2"/>
        <v>5547791.4624366816</v>
      </c>
    </row>
    <row r="9" spans="1:30" x14ac:dyDescent="0.2">
      <c r="A9" s="31" t="str">
        <f>IF(Inputs!A37&lt;&gt;"",Inputs!A37,"")</f>
        <v>Network</v>
      </c>
      <c r="B9" s="12" t="s">
        <v>6</v>
      </c>
      <c r="C9" s="41"/>
      <c r="D9" s="28">
        <v>0</v>
      </c>
      <c r="E9" s="28">
        <f t="shared" si="3"/>
        <v>4000000</v>
      </c>
      <c r="F9" s="28">
        <f t="shared" si="3"/>
        <v>3800000</v>
      </c>
      <c r="G9" s="28">
        <f t="shared" si="3"/>
        <v>3610000</v>
      </c>
      <c r="H9" s="28">
        <f t="shared" si="3"/>
        <v>3429500</v>
      </c>
      <c r="I9" s="28">
        <f t="shared" si="3"/>
        <v>3258025</v>
      </c>
      <c r="J9" s="28">
        <f t="shared" si="3"/>
        <v>3095123.75</v>
      </c>
      <c r="K9" s="28">
        <f t="shared" si="3"/>
        <v>2940367.5625</v>
      </c>
      <c r="L9" s="28">
        <f t="shared" si="3"/>
        <v>2793349.1843750002</v>
      </c>
      <c r="M9" s="28">
        <f t="shared" si="3"/>
        <v>2653681.7251562504</v>
      </c>
      <c r="N9" s="28">
        <f t="shared" si="3"/>
        <v>2520997.6388984378</v>
      </c>
      <c r="O9" s="28">
        <f t="shared" si="3"/>
        <v>2394947.756953516</v>
      </c>
      <c r="P9" s="28">
        <f t="shared" si="3"/>
        <v>2275200.3691058401</v>
      </c>
      <c r="Q9" s="28">
        <f t="shared" si="3"/>
        <v>2161440.350650548</v>
      </c>
      <c r="R9" s="28">
        <f t="shared" si="3"/>
        <v>2053368.3331180206</v>
      </c>
      <c r="S9" s="28">
        <f t="shared" si="3"/>
        <v>1950699.9164621194</v>
      </c>
      <c r="T9" s="28">
        <f t="shared" si="3"/>
        <v>1853164.9206390134</v>
      </c>
      <c r="U9" s="28">
        <f t="shared" si="2"/>
        <v>1760506.6746070627</v>
      </c>
      <c r="V9" s="28">
        <f t="shared" si="2"/>
        <v>1672481.3408767097</v>
      </c>
      <c r="W9" s="28">
        <f t="shared" si="2"/>
        <v>1588857.2738328741</v>
      </c>
      <c r="X9" s="28">
        <f t="shared" si="2"/>
        <v>1509414.4101412303</v>
      </c>
      <c r="Y9" s="28">
        <f t="shared" si="2"/>
        <v>1433943.6896341688</v>
      </c>
      <c r="Z9" s="28">
        <f t="shared" si="2"/>
        <v>1362246.5051524604</v>
      </c>
      <c r="AA9" s="28">
        <f t="shared" si="2"/>
        <v>1294134.1798948373</v>
      </c>
      <c r="AB9" s="28">
        <f t="shared" si="2"/>
        <v>1229427.4709000955</v>
      </c>
      <c r="AC9" s="28">
        <f t="shared" si="2"/>
        <v>1167956.0973550908</v>
      </c>
      <c r="AD9" s="28">
        <f t="shared" si="2"/>
        <v>1109558.2924873363</v>
      </c>
    </row>
    <row r="10" spans="1:30" x14ac:dyDescent="0.2">
      <c r="A10" s="31" t="str">
        <f>IF(Inputs!A38&lt;&gt;"",Inputs!A38,"")</f>
        <v>Land</v>
      </c>
      <c r="B10" s="12" t="s">
        <v>6</v>
      </c>
      <c r="C10" s="41"/>
      <c r="D10" s="28">
        <v>0</v>
      </c>
      <c r="E10" s="28">
        <f t="shared" si="3"/>
        <v>1000000</v>
      </c>
      <c r="F10" s="28">
        <f t="shared" si="3"/>
        <v>950000</v>
      </c>
      <c r="G10" s="28">
        <f t="shared" si="3"/>
        <v>902500</v>
      </c>
      <c r="H10" s="28">
        <f t="shared" si="3"/>
        <v>857375</v>
      </c>
      <c r="I10" s="28">
        <f t="shared" si="3"/>
        <v>814506.25</v>
      </c>
      <c r="J10" s="28">
        <f t="shared" si="3"/>
        <v>773780.9375</v>
      </c>
      <c r="K10" s="28">
        <f t="shared" si="3"/>
        <v>735091.890625</v>
      </c>
      <c r="L10" s="28">
        <f t="shared" si="3"/>
        <v>698337.29609375005</v>
      </c>
      <c r="M10" s="28">
        <f t="shared" si="3"/>
        <v>663420.4312890626</v>
      </c>
      <c r="N10" s="28">
        <f t="shared" si="3"/>
        <v>630249.40972460946</v>
      </c>
      <c r="O10" s="28">
        <f t="shared" si="3"/>
        <v>598736.93923837901</v>
      </c>
      <c r="P10" s="28">
        <f t="shared" si="3"/>
        <v>568800.09227646003</v>
      </c>
      <c r="Q10" s="28">
        <f t="shared" si="3"/>
        <v>540360.087662637</v>
      </c>
      <c r="R10" s="28">
        <f t="shared" si="3"/>
        <v>513342.08327950514</v>
      </c>
      <c r="S10" s="28">
        <f t="shared" si="3"/>
        <v>487674.97911552986</v>
      </c>
      <c r="T10" s="28">
        <f t="shared" si="3"/>
        <v>463291.23015975335</v>
      </c>
      <c r="U10" s="28">
        <f t="shared" si="2"/>
        <v>440126.66865176568</v>
      </c>
      <c r="V10" s="28">
        <f t="shared" si="2"/>
        <v>418120.33521917742</v>
      </c>
      <c r="W10" s="28">
        <f t="shared" si="2"/>
        <v>397214.31845821853</v>
      </c>
      <c r="X10" s="28">
        <f t="shared" si="2"/>
        <v>377353.60253530758</v>
      </c>
      <c r="Y10" s="28">
        <f t="shared" si="2"/>
        <v>358485.92240854219</v>
      </c>
      <c r="Z10" s="28">
        <f t="shared" si="2"/>
        <v>340561.62628811511</v>
      </c>
      <c r="AA10" s="28">
        <f t="shared" si="2"/>
        <v>323533.54497370933</v>
      </c>
      <c r="AB10" s="28">
        <f t="shared" si="2"/>
        <v>307356.86772502388</v>
      </c>
      <c r="AC10" s="28">
        <f t="shared" si="2"/>
        <v>291989.0243387727</v>
      </c>
      <c r="AD10" s="28">
        <f t="shared" si="2"/>
        <v>277389.57312183408</v>
      </c>
    </row>
    <row r="11" spans="1:30" x14ac:dyDescent="0.2">
      <c r="A11" s="31" t="str">
        <f>IF(Inputs!A39&lt;&gt;"",Inputs!A39,"")</f>
        <v>Meters</v>
      </c>
      <c r="B11" s="12" t="s">
        <v>6</v>
      </c>
      <c r="C11" s="41"/>
      <c r="D11" s="28">
        <v>0</v>
      </c>
      <c r="E11" s="28">
        <f t="shared" si="3"/>
        <v>200000</v>
      </c>
      <c r="F11" s="28">
        <f t="shared" si="3"/>
        <v>190000</v>
      </c>
      <c r="G11" s="28">
        <f t="shared" si="3"/>
        <v>180500</v>
      </c>
      <c r="H11" s="28">
        <f t="shared" si="3"/>
        <v>171475</v>
      </c>
      <c r="I11" s="28">
        <f t="shared" si="3"/>
        <v>162901.25</v>
      </c>
      <c r="J11" s="28">
        <f t="shared" si="3"/>
        <v>154756.1875</v>
      </c>
      <c r="K11" s="28">
        <f t="shared" si="3"/>
        <v>147018.37812499999</v>
      </c>
      <c r="L11" s="28">
        <f t="shared" si="3"/>
        <v>139667.45921874998</v>
      </c>
      <c r="M11" s="28">
        <f t="shared" si="3"/>
        <v>132684.08625781248</v>
      </c>
      <c r="N11" s="28">
        <f t="shared" si="3"/>
        <v>126049.88194492186</v>
      </c>
      <c r="O11" s="28">
        <f t="shared" si="3"/>
        <v>119747.38784767577</v>
      </c>
      <c r="P11" s="28">
        <f t="shared" si="3"/>
        <v>113760.01845529198</v>
      </c>
      <c r="Q11" s="28">
        <f t="shared" si="3"/>
        <v>108072.01753252739</v>
      </c>
      <c r="R11" s="28">
        <f t="shared" si="3"/>
        <v>102668.41665590102</v>
      </c>
      <c r="S11" s="28">
        <f t="shared" si="3"/>
        <v>97534.995823105972</v>
      </c>
      <c r="T11" s="28">
        <f t="shared" si="3"/>
        <v>92658.246031950679</v>
      </c>
      <c r="U11" s="28">
        <f t="shared" si="2"/>
        <v>88025.333730353144</v>
      </c>
      <c r="V11" s="28">
        <f t="shared" si="2"/>
        <v>83624.067043835486</v>
      </c>
      <c r="W11" s="28">
        <f t="shared" si="2"/>
        <v>79442.86369164371</v>
      </c>
      <c r="X11" s="28">
        <f t="shared" si="2"/>
        <v>75470.720507061531</v>
      </c>
      <c r="Y11" s="28">
        <f t="shared" si="2"/>
        <v>71697.184481708449</v>
      </c>
      <c r="Z11" s="28">
        <f t="shared" si="2"/>
        <v>68112.32525762303</v>
      </c>
      <c r="AA11" s="28">
        <f t="shared" si="2"/>
        <v>64706.708994741879</v>
      </c>
      <c r="AB11" s="28">
        <f t="shared" si="2"/>
        <v>61471.373545004782</v>
      </c>
      <c r="AC11" s="28">
        <f t="shared" si="2"/>
        <v>58397.804867754545</v>
      </c>
      <c r="AD11" s="28">
        <f t="shared" si="2"/>
        <v>55477.914624366815</v>
      </c>
    </row>
    <row r="12" spans="1:30" x14ac:dyDescent="0.2">
      <c r="A12" s="31" t="str">
        <f>IF(Inputs!A40&lt;&gt;"",Inputs!A40,"")</f>
        <v/>
      </c>
      <c r="B12" s="12" t="s">
        <v>6</v>
      </c>
      <c r="C12" s="41"/>
      <c r="D12" s="28">
        <v>0</v>
      </c>
      <c r="E12" s="28">
        <f t="shared" si="3"/>
        <v>0</v>
      </c>
      <c r="F12" s="28">
        <f t="shared" si="3"/>
        <v>0</v>
      </c>
      <c r="G12" s="28">
        <f t="shared" si="3"/>
        <v>0</v>
      </c>
      <c r="H12" s="28">
        <f t="shared" si="3"/>
        <v>0</v>
      </c>
      <c r="I12" s="28">
        <f t="shared" si="3"/>
        <v>0</v>
      </c>
      <c r="J12" s="28">
        <f t="shared" si="3"/>
        <v>0</v>
      </c>
      <c r="K12" s="28">
        <f t="shared" si="3"/>
        <v>0</v>
      </c>
      <c r="L12" s="28">
        <f t="shared" si="3"/>
        <v>0</v>
      </c>
      <c r="M12" s="28">
        <f t="shared" si="3"/>
        <v>0</v>
      </c>
      <c r="N12" s="28">
        <f t="shared" si="3"/>
        <v>0</v>
      </c>
      <c r="O12" s="28">
        <f t="shared" si="3"/>
        <v>0</v>
      </c>
      <c r="P12" s="28">
        <f t="shared" si="3"/>
        <v>0</v>
      </c>
      <c r="Q12" s="28">
        <f t="shared" si="3"/>
        <v>0</v>
      </c>
      <c r="R12" s="28">
        <f t="shared" si="3"/>
        <v>0</v>
      </c>
      <c r="S12" s="28">
        <f t="shared" si="3"/>
        <v>0</v>
      </c>
      <c r="T12" s="28">
        <f t="shared" si="3"/>
        <v>0</v>
      </c>
      <c r="U12" s="28">
        <f t="shared" si="2"/>
        <v>0</v>
      </c>
      <c r="V12" s="28">
        <f t="shared" si="2"/>
        <v>0</v>
      </c>
      <c r="W12" s="28">
        <f t="shared" si="2"/>
        <v>0</v>
      </c>
      <c r="X12" s="28">
        <f t="shared" si="2"/>
        <v>0</v>
      </c>
      <c r="Y12" s="28">
        <f t="shared" si="2"/>
        <v>0</v>
      </c>
      <c r="Z12" s="28">
        <f t="shared" si="2"/>
        <v>0</v>
      </c>
      <c r="AA12" s="28">
        <f t="shared" si="2"/>
        <v>0</v>
      </c>
      <c r="AB12" s="28">
        <f t="shared" si="2"/>
        <v>0</v>
      </c>
      <c r="AC12" s="28">
        <f t="shared" si="2"/>
        <v>0</v>
      </c>
      <c r="AD12" s="28">
        <f t="shared" si="2"/>
        <v>0</v>
      </c>
    </row>
    <row r="13" spans="1:30" x14ac:dyDescent="0.2">
      <c r="A13" s="31" t="str">
        <f>IF(Inputs!A41&lt;&gt;"",Inputs!A41,"")</f>
        <v/>
      </c>
      <c r="B13" s="12" t="s">
        <v>6</v>
      </c>
      <c r="C13" s="41"/>
      <c r="D13" s="28">
        <v>0</v>
      </c>
      <c r="E13" s="28">
        <f t="shared" si="3"/>
        <v>0</v>
      </c>
      <c r="F13" s="28">
        <f t="shared" si="3"/>
        <v>0</v>
      </c>
      <c r="G13" s="28">
        <f t="shared" si="3"/>
        <v>0</v>
      </c>
      <c r="H13" s="28">
        <f t="shared" si="3"/>
        <v>0</v>
      </c>
      <c r="I13" s="28">
        <f t="shared" si="3"/>
        <v>0</v>
      </c>
      <c r="J13" s="28">
        <f t="shared" si="3"/>
        <v>0</v>
      </c>
      <c r="K13" s="28">
        <f t="shared" si="3"/>
        <v>0</v>
      </c>
      <c r="L13" s="28">
        <f t="shared" si="3"/>
        <v>0</v>
      </c>
      <c r="M13" s="28">
        <f t="shared" si="3"/>
        <v>0</v>
      </c>
      <c r="N13" s="28">
        <f t="shared" si="3"/>
        <v>0</v>
      </c>
      <c r="O13" s="28">
        <f t="shared" si="3"/>
        <v>0</v>
      </c>
      <c r="P13" s="28">
        <f t="shared" si="3"/>
        <v>0</v>
      </c>
      <c r="Q13" s="28">
        <f t="shared" si="3"/>
        <v>0</v>
      </c>
      <c r="R13" s="28">
        <f t="shared" si="3"/>
        <v>0</v>
      </c>
      <c r="S13" s="28">
        <f t="shared" si="3"/>
        <v>0</v>
      </c>
      <c r="T13" s="28">
        <f t="shared" si="3"/>
        <v>0</v>
      </c>
      <c r="U13" s="28">
        <f t="shared" si="2"/>
        <v>0</v>
      </c>
      <c r="V13" s="28">
        <f t="shared" si="2"/>
        <v>0</v>
      </c>
      <c r="W13" s="28">
        <f t="shared" si="2"/>
        <v>0</v>
      </c>
      <c r="X13" s="28">
        <f t="shared" si="2"/>
        <v>0</v>
      </c>
      <c r="Y13" s="28">
        <f t="shared" si="2"/>
        <v>0</v>
      </c>
      <c r="Z13" s="28">
        <f t="shared" si="2"/>
        <v>0</v>
      </c>
      <c r="AA13" s="28">
        <f t="shared" si="2"/>
        <v>0</v>
      </c>
      <c r="AB13" s="28">
        <f t="shared" si="2"/>
        <v>0</v>
      </c>
      <c r="AC13" s="28">
        <f t="shared" si="2"/>
        <v>0</v>
      </c>
      <c r="AD13" s="28">
        <f t="shared" si="2"/>
        <v>0</v>
      </c>
    </row>
    <row r="14" spans="1:30" x14ac:dyDescent="0.2">
      <c r="A14" s="31" t="s">
        <v>32</v>
      </c>
      <c r="B14" s="12" t="s">
        <v>6</v>
      </c>
      <c r="C14" s="41"/>
      <c r="D14" s="28">
        <f>SUM(D7:D13)</f>
        <v>0</v>
      </c>
      <c r="E14" s="28">
        <f t="shared" ref="E14:AD14" si="4">SUM(E7:E13)</f>
        <v>26200000</v>
      </c>
      <c r="F14" s="28">
        <f t="shared" si="4"/>
        <v>24890000</v>
      </c>
      <c r="G14" s="28">
        <f t="shared" si="4"/>
        <v>23645500</v>
      </c>
      <c r="H14" s="28">
        <f t="shared" si="4"/>
        <v>22463225</v>
      </c>
      <c r="I14" s="28">
        <f t="shared" si="4"/>
        <v>21340063.75</v>
      </c>
      <c r="J14" s="28">
        <f t="shared" si="4"/>
        <v>20273060.5625</v>
      </c>
      <c r="K14" s="28">
        <f t="shared" si="4"/>
        <v>19259407.534375001</v>
      </c>
      <c r="L14" s="28">
        <f t="shared" si="4"/>
        <v>18296437.157656252</v>
      </c>
      <c r="M14" s="28">
        <f t="shared" si="4"/>
        <v>17381615.299773436</v>
      </c>
      <c r="N14" s="28">
        <f t="shared" si="4"/>
        <v>16512534.534784768</v>
      </c>
      <c r="O14" s="28">
        <f t="shared" si="4"/>
        <v>15686907.808045525</v>
      </c>
      <c r="P14" s="28">
        <f t="shared" si="4"/>
        <v>14902562.417643249</v>
      </c>
      <c r="Q14" s="28">
        <f t="shared" si="4"/>
        <v>14157434.296761088</v>
      </c>
      <c r="R14" s="28">
        <f t="shared" si="4"/>
        <v>13449562.581923034</v>
      </c>
      <c r="S14" s="28">
        <f t="shared" si="4"/>
        <v>12777084.45282688</v>
      </c>
      <c r="T14" s="28">
        <f t="shared" si="4"/>
        <v>12138230.23018554</v>
      </c>
      <c r="U14" s="28">
        <f t="shared" si="4"/>
        <v>11531318.71867626</v>
      </c>
      <c r="V14" s="28">
        <f t="shared" si="4"/>
        <v>10954752.78274245</v>
      </c>
      <c r="W14" s="28">
        <f t="shared" si="4"/>
        <v>10407015.143605324</v>
      </c>
      <c r="X14" s="28">
        <f t="shared" si="4"/>
        <v>9886664.3864250593</v>
      </c>
      <c r="Y14" s="28">
        <f t="shared" si="4"/>
        <v>9392331.1671038065</v>
      </c>
      <c r="Z14" s="28">
        <f t="shared" si="4"/>
        <v>8922714.6087486185</v>
      </c>
      <c r="AA14" s="28">
        <f t="shared" si="4"/>
        <v>8476578.878311187</v>
      </c>
      <c r="AB14" s="28">
        <f t="shared" si="4"/>
        <v>8052749.9343956271</v>
      </c>
      <c r="AC14" s="28">
        <f t="shared" si="4"/>
        <v>7650112.4376758449</v>
      </c>
      <c r="AD14" s="28">
        <f t="shared" si="4"/>
        <v>7267606.8157920539</v>
      </c>
    </row>
    <row r="15" spans="1:30" x14ac:dyDescent="0.2">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row>
    <row r="16" spans="1:30" s="10" customFormat="1" x14ac:dyDescent="0.2">
      <c r="A16" s="10" t="s">
        <v>89</v>
      </c>
      <c r="C16" s="11"/>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row>
    <row r="17" spans="1:30" x14ac:dyDescent="0.2">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row>
    <row r="18" spans="1:30" x14ac:dyDescent="0.2">
      <c r="A18" s="31" t="str">
        <f>IF(Inputs!A35&lt;&gt;"",Inputs!A35,"")</f>
        <v>Development</v>
      </c>
      <c r="B18" s="12" t="s">
        <v>6</v>
      </c>
      <c r="C18" s="41" t="s">
        <v>89</v>
      </c>
      <c r="D18" s="28">
        <f>Inputs!D35</f>
        <v>1000000</v>
      </c>
      <c r="E18" s="28">
        <f>Inputs!E35</f>
        <v>0</v>
      </c>
      <c r="F18" s="28">
        <f>Inputs!F35</f>
        <v>0</v>
      </c>
      <c r="G18" s="28">
        <f>Inputs!G35</f>
        <v>0</v>
      </c>
      <c r="H18" s="28">
        <f>Inputs!H35</f>
        <v>0</v>
      </c>
      <c r="I18" s="28">
        <f>Inputs!I35</f>
        <v>0</v>
      </c>
      <c r="J18" s="28">
        <f>Inputs!J35</f>
        <v>0</v>
      </c>
      <c r="K18" s="28">
        <f>Inputs!K35</f>
        <v>0</v>
      </c>
      <c r="L18" s="28">
        <f>Inputs!L35</f>
        <v>0</v>
      </c>
      <c r="M18" s="28">
        <f>Inputs!M35</f>
        <v>0</v>
      </c>
      <c r="N18" s="28">
        <f>Inputs!N35</f>
        <v>0</v>
      </c>
      <c r="O18" s="28">
        <f>Inputs!O35</f>
        <v>0</v>
      </c>
      <c r="P18" s="28">
        <f>Inputs!P35</f>
        <v>0</v>
      </c>
      <c r="Q18" s="28">
        <f>Inputs!Q35</f>
        <v>0</v>
      </c>
      <c r="R18" s="28">
        <f>Inputs!R35</f>
        <v>0</v>
      </c>
      <c r="S18" s="28">
        <f>Inputs!S35</f>
        <v>0</v>
      </c>
      <c r="T18" s="28">
        <f>Inputs!T35</f>
        <v>0</v>
      </c>
      <c r="U18" s="28">
        <f>Inputs!U35</f>
        <v>0</v>
      </c>
      <c r="V18" s="28">
        <f>Inputs!V35</f>
        <v>0</v>
      </c>
      <c r="W18" s="28">
        <f>Inputs!W35</f>
        <v>0</v>
      </c>
      <c r="X18" s="28">
        <f>Inputs!X35</f>
        <v>0</v>
      </c>
      <c r="Y18" s="28">
        <f>Inputs!Y35</f>
        <v>0</v>
      </c>
      <c r="Z18" s="28">
        <f>Inputs!Z35</f>
        <v>0</v>
      </c>
      <c r="AA18" s="28">
        <f>Inputs!AA35</f>
        <v>0</v>
      </c>
      <c r="AB18" s="28">
        <f>Inputs!AB35</f>
        <v>0</v>
      </c>
      <c r="AC18" s="28">
        <f>Inputs!AC35</f>
        <v>0</v>
      </c>
      <c r="AD18" s="28">
        <f>Inputs!AD35</f>
        <v>0</v>
      </c>
    </row>
    <row r="19" spans="1:30" x14ac:dyDescent="0.2">
      <c r="A19" s="31" t="str">
        <f>IF(Inputs!A36&lt;&gt;"",Inputs!A36,"")</f>
        <v>Generator</v>
      </c>
      <c r="B19" s="12" t="s">
        <v>6</v>
      </c>
      <c r="C19" s="41"/>
      <c r="D19" s="28">
        <f>Inputs!D36</f>
        <v>20000000</v>
      </c>
      <c r="E19" s="28">
        <f>Inputs!E36</f>
        <v>0</v>
      </c>
      <c r="F19" s="28">
        <f>Inputs!F36</f>
        <v>0</v>
      </c>
      <c r="G19" s="28">
        <f>Inputs!G36</f>
        <v>0</v>
      </c>
      <c r="H19" s="28">
        <f>Inputs!H36</f>
        <v>0</v>
      </c>
      <c r="I19" s="28">
        <f>Inputs!I36</f>
        <v>0</v>
      </c>
      <c r="J19" s="28">
        <f>Inputs!J36</f>
        <v>0</v>
      </c>
      <c r="K19" s="28">
        <f>Inputs!K36</f>
        <v>0</v>
      </c>
      <c r="L19" s="28">
        <f>Inputs!L36</f>
        <v>0</v>
      </c>
      <c r="M19" s="28">
        <f>Inputs!M36</f>
        <v>0</v>
      </c>
      <c r="N19" s="28">
        <f>Inputs!N36</f>
        <v>0</v>
      </c>
      <c r="O19" s="28">
        <f>Inputs!O36</f>
        <v>0</v>
      </c>
      <c r="P19" s="28">
        <f>Inputs!P36</f>
        <v>0</v>
      </c>
      <c r="Q19" s="28">
        <f>Inputs!Q36</f>
        <v>0</v>
      </c>
      <c r="R19" s="28">
        <f>Inputs!R36</f>
        <v>0</v>
      </c>
      <c r="S19" s="28">
        <f>Inputs!S36</f>
        <v>0</v>
      </c>
      <c r="T19" s="28">
        <f>Inputs!T36</f>
        <v>0</v>
      </c>
      <c r="U19" s="28">
        <f>Inputs!U36</f>
        <v>0</v>
      </c>
      <c r="V19" s="28">
        <f>Inputs!V36</f>
        <v>0</v>
      </c>
      <c r="W19" s="28">
        <f>Inputs!W36</f>
        <v>0</v>
      </c>
      <c r="X19" s="28">
        <f>Inputs!X36</f>
        <v>0</v>
      </c>
      <c r="Y19" s="28">
        <f>Inputs!Y36</f>
        <v>0</v>
      </c>
      <c r="Z19" s="28">
        <f>Inputs!Z36</f>
        <v>0</v>
      </c>
      <c r="AA19" s="28">
        <f>Inputs!AA36</f>
        <v>0</v>
      </c>
      <c r="AB19" s="28">
        <f>Inputs!AB36</f>
        <v>0</v>
      </c>
      <c r="AC19" s="28">
        <f>Inputs!AC36</f>
        <v>0</v>
      </c>
      <c r="AD19" s="28">
        <f>Inputs!AD36</f>
        <v>0</v>
      </c>
    </row>
    <row r="20" spans="1:30" x14ac:dyDescent="0.2">
      <c r="A20" s="31" t="str">
        <f>IF(Inputs!A37&lt;&gt;"",Inputs!A37,"")</f>
        <v>Network</v>
      </c>
      <c r="B20" s="12" t="s">
        <v>6</v>
      </c>
      <c r="C20" s="41"/>
      <c r="D20" s="28">
        <f>Inputs!D37</f>
        <v>4000000</v>
      </c>
      <c r="E20" s="28">
        <f>Inputs!E37</f>
        <v>0</v>
      </c>
      <c r="F20" s="28">
        <f>Inputs!F37</f>
        <v>0</v>
      </c>
      <c r="G20" s="28">
        <f>Inputs!G37</f>
        <v>0</v>
      </c>
      <c r="H20" s="28">
        <f>Inputs!H37</f>
        <v>0</v>
      </c>
      <c r="I20" s="28">
        <f>Inputs!I37</f>
        <v>0</v>
      </c>
      <c r="J20" s="28">
        <f>Inputs!J37</f>
        <v>0</v>
      </c>
      <c r="K20" s="28">
        <f>Inputs!K37</f>
        <v>0</v>
      </c>
      <c r="L20" s="28">
        <f>Inputs!L37</f>
        <v>0</v>
      </c>
      <c r="M20" s="28">
        <f>Inputs!M37</f>
        <v>0</v>
      </c>
      <c r="N20" s="28">
        <f>Inputs!N37</f>
        <v>0</v>
      </c>
      <c r="O20" s="28">
        <f>Inputs!O37</f>
        <v>0</v>
      </c>
      <c r="P20" s="28">
        <f>Inputs!P37</f>
        <v>0</v>
      </c>
      <c r="Q20" s="28">
        <f>Inputs!Q37</f>
        <v>0</v>
      </c>
      <c r="R20" s="28">
        <f>Inputs!R37</f>
        <v>0</v>
      </c>
      <c r="S20" s="28">
        <f>Inputs!S37</f>
        <v>0</v>
      </c>
      <c r="T20" s="28">
        <f>Inputs!T37</f>
        <v>0</v>
      </c>
      <c r="U20" s="28">
        <f>Inputs!U37</f>
        <v>0</v>
      </c>
      <c r="V20" s="28">
        <f>Inputs!V37</f>
        <v>0</v>
      </c>
      <c r="W20" s="28">
        <f>Inputs!W37</f>
        <v>0</v>
      </c>
      <c r="X20" s="28">
        <f>Inputs!X37</f>
        <v>0</v>
      </c>
      <c r="Y20" s="28">
        <f>Inputs!Y37</f>
        <v>0</v>
      </c>
      <c r="Z20" s="28">
        <f>Inputs!Z37</f>
        <v>0</v>
      </c>
      <c r="AA20" s="28">
        <f>Inputs!AA37</f>
        <v>0</v>
      </c>
      <c r="AB20" s="28">
        <f>Inputs!AB37</f>
        <v>0</v>
      </c>
      <c r="AC20" s="28">
        <f>Inputs!AC37</f>
        <v>0</v>
      </c>
      <c r="AD20" s="28">
        <f>Inputs!AD37</f>
        <v>0</v>
      </c>
    </row>
    <row r="21" spans="1:30" x14ac:dyDescent="0.2">
      <c r="A21" s="31" t="str">
        <f>IF(Inputs!A38&lt;&gt;"",Inputs!A38,"")</f>
        <v>Land</v>
      </c>
      <c r="B21" s="12" t="s">
        <v>6</v>
      </c>
      <c r="C21" s="41"/>
      <c r="D21" s="28">
        <f>Inputs!D38</f>
        <v>1000000</v>
      </c>
      <c r="E21" s="28">
        <f>Inputs!E38</f>
        <v>0</v>
      </c>
      <c r="F21" s="28">
        <f>Inputs!F38</f>
        <v>0</v>
      </c>
      <c r="G21" s="28">
        <f>Inputs!G38</f>
        <v>0</v>
      </c>
      <c r="H21" s="28">
        <f>Inputs!H38</f>
        <v>0</v>
      </c>
      <c r="I21" s="28">
        <f>Inputs!I38</f>
        <v>0</v>
      </c>
      <c r="J21" s="28">
        <f>Inputs!J38</f>
        <v>0</v>
      </c>
      <c r="K21" s="28">
        <f>Inputs!K38</f>
        <v>0</v>
      </c>
      <c r="L21" s="28">
        <f>Inputs!L38</f>
        <v>0</v>
      </c>
      <c r="M21" s="28">
        <f>Inputs!M38</f>
        <v>0</v>
      </c>
      <c r="N21" s="28">
        <f>Inputs!N38</f>
        <v>0</v>
      </c>
      <c r="O21" s="28">
        <f>Inputs!O38</f>
        <v>0</v>
      </c>
      <c r="P21" s="28">
        <f>Inputs!P38</f>
        <v>0</v>
      </c>
      <c r="Q21" s="28">
        <f>Inputs!Q38</f>
        <v>0</v>
      </c>
      <c r="R21" s="28">
        <f>Inputs!R38</f>
        <v>0</v>
      </c>
      <c r="S21" s="28">
        <f>Inputs!S38</f>
        <v>0</v>
      </c>
      <c r="T21" s="28">
        <f>Inputs!T38</f>
        <v>0</v>
      </c>
      <c r="U21" s="28">
        <f>Inputs!U38</f>
        <v>0</v>
      </c>
      <c r="V21" s="28">
        <f>Inputs!V38</f>
        <v>0</v>
      </c>
      <c r="W21" s="28">
        <f>Inputs!W38</f>
        <v>0</v>
      </c>
      <c r="X21" s="28">
        <f>Inputs!X38</f>
        <v>0</v>
      </c>
      <c r="Y21" s="28">
        <f>Inputs!Y38</f>
        <v>0</v>
      </c>
      <c r="Z21" s="28">
        <f>Inputs!Z38</f>
        <v>0</v>
      </c>
      <c r="AA21" s="28">
        <f>Inputs!AA38</f>
        <v>0</v>
      </c>
      <c r="AB21" s="28">
        <f>Inputs!AB38</f>
        <v>0</v>
      </c>
      <c r="AC21" s="28">
        <f>Inputs!AC38</f>
        <v>0</v>
      </c>
      <c r="AD21" s="28">
        <f>Inputs!AD38</f>
        <v>0</v>
      </c>
    </row>
    <row r="22" spans="1:30" x14ac:dyDescent="0.2">
      <c r="A22" s="31" t="str">
        <f>IF(Inputs!A39&lt;&gt;"",Inputs!A39,"")</f>
        <v>Meters</v>
      </c>
      <c r="B22" s="12" t="s">
        <v>6</v>
      </c>
      <c r="C22" s="41"/>
      <c r="D22" s="28">
        <f>Inputs!D39</f>
        <v>200000</v>
      </c>
      <c r="E22" s="28">
        <f>Inputs!E39</f>
        <v>0</v>
      </c>
      <c r="F22" s="28">
        <f>Inputs!F39</f>
        <v>0</v>
      </c>
      <c r="G22" s="28">
        <f>Inputs!G39</f>
        <v>0</v>
      </c>
      <c r="H22" s="28">
        <f>Inputs!H39</f>
        <v>0</v>
      </c>
      <c r="I22" s="28">
        <f>Inputs!I39</f>
        <v>0</v>
      </c>
      <c r="J22" s="28">
        <f>Inputs!J39</f>
        <v>0</v>
      </c>
      <c r="K22" s="28">
        <f>Inputs!K39</f>
        <v>0</v>
      </c>
      <c r="L22" s="28">
        <f>Inputs!L39</f>
        <v>0</v>
      </c>
      <c r="M22" s="28">
        <f>Inputs!M39</f>
        <v>0</v>
      </c>
      <c r="N22" s="28">
        <f>Inputs!N39</f>
        <v>0</v>
      </c>
      <c r="O22" s="28">
        <f>Inputs!O39</f>
        <v>0</v>
      </c>
      <c r="P22" s="28">
        <f>Inputs!P39</f>
        <v>0</v>
      </c>
      <c r="Q22" s="28">
        <f>Inputs!Q39</f>
        <v>0</v>
      </c>
      <c r="R22" s="28">
        <f>Inputs!R39</f>
        <v>0</v>
      </c>
      <c r="S22" s="28">
        <f>Inputs!S39</f>
        <v>0</v>
      </c>
      <c r="T22" s="28">
        <f>Inputs!T39</f>
        <v>0</v>
      </c>
      <c r="U22" s="28">
        <f>Inputs!U39</f>
        <v>0</v>
      </c>
      <c r="V22" s="28">
        <f>Inputs!V39</f>
        <v>0</v>
      </c>
      <c r="W22" s="28">
        <f>Inputs!W39</f>
        <v>0</v>
      </c>
      <c r="X22" s="28">
        <f>Inputs!X39</f>
        <v>0</v>
      </c>
      <c r="Y22" s="28">
        <f>Inputs!Y39</f>
        <v>0</v>
      </c>
      <c r="Z22" s="28">
        <f>Inputs!Z39</f>
        <v>0</v>
      </c>
      <c r="AA22" s="28">
        <f>Inputs!AA39</f>
        <v>0</v>
      </c>
      <c r="AB22" s="28">
        <f>Inputs!AB39</f>
        <v>0</v>
      </c>
      <c r="AC22" s="28">
        <f>Inputs!AC39</f>
        <v>0</v>
      </c>
      <c r="AD22" s="28">
        <f>Inputs!AD39</f>
        <v>0</v>
      </c>
    </row>
    <row r="23" spans="1:30" x14ac:dyDescent="0.2">
      <c r="A23" s="31" t="str">
        <f>IF(Inputs!A40&lt;&gt;"",Inputs!A40,"")</f>
        <v/>
      </c>
      <c r="B23" s="12" t="s">
        <v>6</v>
      </c>
      <c r="C23" s="41"/>
      <c r="D23" s="28">
        <f>Inputs!D40</f>
        <v>0</v>
      </c>
      <c r="E23" s="28">
        <f>Inputs!E40</f>
        <v>0</v>
      </c>
      <c r="F23" s="28">
        <f>Inputs!F40</f>
        <v>0</v>
      </c>
      <c r="G23" s="28">
        <f>Inputs!G40</f>
        <v>0</v>
      </c>
      <c r="H23" s="28">
        <f>Inputs!H40</f>
        <v>0</v>
      </c>
      <c r="I23" s="28">
        <f>Inputs!I40</f>
        <v>0</v>
      </c>
      <c r="J23" s="28">
        <f>Inputs!J40</f>
        <v>0</v>
      </c>
      <c r="K23" s="28">
        <f>Inputs!K40</f>
        <v>0</v>
      </c>
      <c r="L23" s="28">
        <f>Inputs!L40</f>
        <v>0</v>
      </c>
      <c r="M23" s="28">
        <f>Inputs!M40</f>
        <v>0</v>
      </c>
      <c r="N23" s="28">
        <f>Inputs!N40</f>
        <v>0</v>
      </c>
      <c r="O23" s="28">
        <f>Inputs!O40</f>
        <v>0</v>
      </c>
      <c r="P23" s="28">
        <f>Inputs!P40</f>
        <v>0</v>
      </c>
      <c r="Q23" s="28">
        <f>Inputs!Q40</f>
        <v>0</v>
      </c>
      <c r="R23" s="28">
        <f>Inputs!R40</f>
        <v>0</v>
      </c>
      <c r="S23" s="28">
        <f>Inputs!S40</f>
        <v>0</v>
      </c>
      <c r="T23" s="28">
        <f>Inputs!T40</f>
        <v>0</v>
      </c>
      <c r="U23" s="28">
        <f>Inputs!U40</f>
        <v>0</v>
      </c>
      <c r="V23" s="28">
        <f>Inputs!V40</f>
        <v>0</v>
      </c>
      <c r="W23" s="28">
        <f>Inputs!W40</f>
        <v>0</v>
      </c>
      <c r="X23" s="28">
        <f>Inputs!X40</f>
        <v>0</v>
      </c>
      <c r="Y23" s="28">
        <f>Inputs!Y40</f>
        <v>0</v>
      </c>
      <c r="Z23" s="28">
        <f>Inputs!Z40</f>
        <v>0</v>
      </c>
      <c r="AA23" s="28">
        <f>Inputs!AA40</f>
        <v>0</v>
      </c>
      <c r="AB23" s="28">
        <f>Inputs!AB40</f>
        <v>0</v>
      </c>
      <c r="AC23" s="28">
        <f>Inputs!AC40</f>
        <v>0</v>
      </c>
      <c r="AD23" s="28">
        <f>Inputs!AD40</f>
        <v>0</v>
      </c>
    </row>
    <row r="24" spans="1:30" x14ac:dyDescent="0.2">
      <c r="A24" s="31" t="str">
        <f>IF(Inputs!A41&lt;&gt;"",Inputs!A41,"")</f>
        <v/>
      </c>
      <c r="B24" s="12" t="s">
        <v>6</v>
      </c>
      <c r="C24" s="41"/>
      <c r="D24" s="28">
        <f>Inputs!D41</f>
        <v>0</v>
      </c>
      <c r="E24" s="28">
        <f>Inputs!E41</f>
        <v>0</v>
      </c>
      <c r="F24" s="28">
        <f>Inputs!F41</f>
        <v>0</v>
      </c>
      <c r="G24" s="28">
        <f>Inputs!G41</f>
        <v>0</v>
      </c>
      <c r="H24" s="28">
        <f>Inputs!H41</f>
        <v>0</v>
      </c>
      <c r="I24" s="28">
        <f>Inputs!I41</f>
        <v>0</v>
      </c>
      <c r="J24" s="28">
        <f>Inputs!J41</f>
        <v>0</v>
      </c>
      <c r="K24" s="28">
        <f>Inputs!K41</f>
        <v>0</v>
      </c>
      <c r="L24" s="28">
        <f>Inputs!L41</f>
        <v>0</v>
      </c>
      <c r="M24" s="28">
        <f>Inputs!M41</f>
        <v>0</v>
      </c>
      <c r="N24" s="28">
        <f>Inputs!N41</f>
        <v>0</v>
      </c>
      <c r="O24" s="28">
        <f>Inputs!O41</f>
        <v>0</v>
      </c>
      <c r="P24" s="28">
        <f>Inputs!P41</f>
        <v>0</v>
      </c>
      <c r="Q24" s="28">
        <f>Inputs!Q41</f>
        <v>0</v>
      </c>
      <c r="R24" s="28">
        <f>Inputs!R41</f>
        <v>0</v>
      </c>
      <c r="S24" s="28">
        <f>Inputs!S41</f>
        <v>0</v>
      </c>
      <c r="T24" s="28">
        <f>Inputs!T41</f>
        <v>0</v>
      </c>
      <c r="U24" s="28">
        <f>Inputs!U41</f>
        <v>0</v>
      </c>
      <c r="V24" s="28">
        <f>Inputs!V41</f>
        <v>0</v>
      </c>
      <c r="W24" s="28">
        <f>Inputs!W41</f>
        <v>0</v>
      </c>
      <c r="X24" s="28">
        <f>Inputs!X41</f>
        <v>0</v>
      </c>
      <c r="Y24" s="28">
        <f>Inputs!Y41</f>
        <v>0</v>
      </c>
      <c r="Z24" s="28">
        <f>Inputs!Z41</f>
        <v>0</v>
      </c>
      <c r="AA24" s="28">
        <f>Inputs!AA41</f>
        <v>0</v>
      </c>
      <c r="AB24" s="28">
        <f>Inputs!AB41</f>
        <v>0</v>
      </c>
      <c r="AC24" s="28">
        <f>Inputs!AC41</f>
        <v>0</v>
      </c>
      <c r="AD24" s="28">
        <f>Inputs!AD41</f>
        <v>0</v>
      </c>
    </row>
    <row r="25" spans="1:30" x14ac:dyDescent="0.2">
      <c r="A25" s="31" t="s">
        <v>32</v>
      </c>
      <c r="B25" s="12" t="s">
        <v>6</v>
      </c>
      <c r="C25" s="41"/>
      <c r="D25" s="28">
        <f>SUM(D18:D24)</f>
        <v>26200000</v>
      </c>
      <c r="E25" s="28">
        <f t="shared" ref="E25:AD25" si="5">SUM(E18:E24)</f>
        <v>0</v>
      </c>
      <c r="F25" s="28">
        <f t="shared" si="5"/>
        <v>0</v>
      </c>
      <c r="G25" s="28">
        <f t="shared" si="5"/>
        <v>0</v>
      </c>
      <c r="H25" s="28">
        <f t="shared" si="5"/>
        <v>0</v>
      </c>
      <c r="I25" s="28">
        <f t="shared" si="5"/>
        <v>0</v>
      </c>
      <c r="J25" s="28">
        <f t="shared" si="5"/>
        <v>0</v>
      </c>
      <c r="K25" s="28">
        <f t="shared" si="5"/>
        <v>0</v>
      </c>
      <c r="L25" s="28">
        <f t="shared" si="5"/>
        <v>0</v>
      </c>
      <c r="M25" s="28">
        <f t="shared" si="5"/>
        <v>0</v>
      </c>
      <c r="N25" s="28">
        <f t="shared" si="5"/>
        <v>0</v>
      </c>
      <c r="O25" s="28">
        <f t="shared" si="5"/>
        <v>0</v>
      </c>
      <c r="P25" s="28">
        <f t="shared" si="5"/>
        <v>0</v>
      </c>
      <c r="Q25" s="28">
        <f t="shared" si="5"/>
        <v>0</v>
      </c>
      <c r="R25" s="28">
        <f t="shared" si="5"/>
        <v>0</v>
      </c>
      <c r="S25" s="28">
        <f t="shared" si="5"/>
        <v>0</v>
      </c>
      <c r="T25" s="28">
        <f t="shared" si="5"/>
        <v>0</v>
      </c>
      <c r="U25" s="28">
        <f t="shared" si="5"/>
        <v>0</v>
      </c>
      <c r="V25" s="28">
        <f t="shared" si="5"/>
        <v>0</v>
      </c>
      <c r="W25" s="28">
        <f t="shared" si="5"/>
        <v>0</v>
      </c>
      <c r="X25" s="28">
        <f t="shared" si="5"/>
        <v>0</v>
      </c>
      <c r="Y25" s="28">
        <f t="shared" si="5"/>
        <v>0</v>
      </c>
      <c r="Z25" s="28">
        <f t="shared" si="5"/>
        <v>0</v>
      </c>
      <c r="AA25" s="28">
        <f t="shared" si="5"/>
        <v>0</v>
      </c>
      <c r="AB25" s="28">
        <f t="shared" si="5"/>
        <v>0</v>
      </c>
      <c r="AC25" s="28">
        <f t="shared" si="5"/>
        <v>0</v>
      </c>
      <c r="AD25" s="28">
        <f t="shared" si="5"/>
        <v>0</v>
      </c>
    </row>
    <row r="26" spans="1:30" x14ac:dyDescent="0.2">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row>
    <row r="27" spans="1:30" s="10" customFormat="1" x14ac:dyDescent="0.2">
      <c r="A27" s="10" t="s">
        <v>11</v>
      </c>
      <c r="C27" s="11"/>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row>
    <row r="28" spans="1:30" x14ac:dyDescent="0.2">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row>
    <row r="29" spans="1:30" x14ac:dyDescent="0.2">
      <c r="A29" s="31" t="str">
        <f>IF(Inputs!A35&lt;&gt;"",Inputs!A35,"")</f>
        <v>Development</v>
      </c>
      <c r="B29" s="12" t="s">
        <v>6</v>
      </c>
      <c r="C29" s="41" t="s">
        <v>90</v>
      </c>
      <c r="D29" s="28">
        <f>IF(D$3&gt;=Inputs!$D$8,IF(ISNUMBER(Inputs!$D46)=TRUE,(D7+D18/2)*1/Inputs!$D46,0),0)</f>
        <v>0</v>
      </c>
      <c r="E29" s="28">
        <f>IF(E$3&gt;=Inputs!$D$8,IF(ISNUMBER(Inputs!$D46)=TRUE,(E7+E18/2)*1/Inputs!$D46,0),0)</f>
        <v>50000</v>
      </c>
      <c r="F29" s="28">
        <f>IF(F$3&gt;=Inputs!$D$8,IF(ISNUMBER(Inputs!$D46)=TRUE,(F7+F18/2)*1/Inputs!$D46,0),0)</f>
        <v>47500</v>
      </c>
      <c r="G29" s="28">
        <f>IF(G$3&gt;=Inputs!$D$8,IF(ISNUMBER(Inputs!$D46)=TRUE,(G7+G18/2)*1/Inputs!$D46,0),0)</f>
        <v>45125</v>
      </c>
      <c r="H29" s="28">
        <f>IF(H$3&gt;=Inputs!$D$8,IF(ISNUMBER(Inputs!$D46)=TRUE,(H7+H18/2)*1/Inputs!$D46,0),0)</f>
        <v>42868.75</v>
      </c>
      <c r="I29" s="28">
        <f>IF(I$3&gt;=Inputs!$D$8,IF(ISNUMBER(Inputs!$D46)=TRUE,(I7+I18/2)*1/Inputs!$D46,0),0)</f>
        <v>40725.3125</v>
      </c>
      <c r="J29" s="28">
        <f>IF(J$3&gt;=Inputs!$D$8,IF(ISNUMBER(Inputs!$D46)=TRUE,(J7+J18/2)*1/Inputs!$D46,0),0)</f>
        <v>38689.046875</v>
      </c>
      <c r="K29" s="28">
        <f>IF(K$3&gt;=Inputs!$D$8,IF(ISNUMBER(Inputs!$D46)=TRUE,(K7+K18/2)*1/Inputs!$D46,0),0)</f>
        <v>36754.594531249997</v>
      </c>
      <c r="L29" s="28">
        <f>IF(L$3&gt;=Inputs!$D$8,IF(ISNUMBER(Inputs!$D46)=TRUE,(L7+L18/2)*1/Inputs!$D46,0),0)</f>
        <v>34916.864804687502</v>
      </c>
      <c r="M29" s="28">
        <f>IF(M$3&gt;=Inputs!$D$8,IF(ISNUMBER(Inputs!$D46)=TRUE,(M7+M18/2)*1/Inputs!$D46,0),0)</f>
        <v>33171.021564453127</v>
      </c>
      <c r="N29" s="28">
        <f>IF(N$3&gt;=Inputs!$D$8,IF(ISNUMBER(Inputs!$D46)=TRUE,(N7+N18/2)*1/Inputs!$D46,0),0)</f>
        <v>31512.470486230472</v>
      </c>
      <c r="O29" s="28">
        <f>IF(O$3&gt;=Inputs!$D$8,IF(ISNUMBER(Inputs!$D46)=TRUE,(O7+O18/2)*1/Inputs!$D46,0),0)</f>
        <v>29936.846961918949</v>
      </c>
      <c r="P29" s="28">
        <f>IF(P$3&gt;=Inputs!$D$8,IF(ISNUMBER(Inputs!$D46)=TRUE,(P7+P18/2)*1/Inputs!$D46,0),0)</f>
        <v>28440.004613823003</v>
      </c>
      <c r="Q29" s="28">
        <f>IF(Q$3&gt;=Inputs!$D$8,IF(ISNUMBER(Inputs!$D46)=TRUE,(Q7+Q18/2)*1/Inputs!$D46,0),0)</f>
        <v>27018.004383131851</v>
      </c>
      <c r="R29" s="28">
        <f>IF(R$3&gt;=Inputs!$D$8,IF(ISNUMBER(Inputs!$D46)=TRUE,(R7+R18/2)*1/Inputs!$D46,0),0)</f>
        <v>25667.104163975258</v>
      </c>
      <c r="S29" s="28">
        <f>IF(S$3&gt;=Inputs!$D$8,IF(ISNUMBER(Inputs!$D46)=TRUE,(S7+S18/2)*1/Inputs!$D46,0),0)</f>
        <v>24383.748955776493</v>
      </c>
      <c r="T29" s="28">
        <f>IF(T$3&gt;=Inputs!$D$8,IF(ISNUMBER(Inputs!$D46)=TRUE,(T7+T18/2)*1/Inputs!$D46,0),0)</f>
        <v>23164.561507987666</v>
      </c>
      <c r="U29" s="28">
        <f>IF(U$3&gt;=Inputs!$D$8,IF(ISNUMBER(Inputs!$D46)=TRUE,(U7+U18/2)*1/Inputs!$D46,0),0)</f>
        <v>22006.333432588282</v>
      </c>
      <c r="V29" s="28">
        <f>IF(V$3&gt;=Inputs!$D$8,IF(ISNUMBER(Inputs!$D46)=TRUE,(V7+V18/2)*1/Inputs!$D46,0),0)</f>
        <v>20906.016760958872</v>
      </c>
      <c r="W29" s="28">
        <f>IF(W$3&gt;=Inputs!$D$8,IF(ISNUMBER(Inputs!$D46)=TRUE,(W7+W18/2)*1/Inputs!$D46,0),0)</f>
        <v>19860.715922910927</v>
      </c>
      <c r="X29" s="28">
        <f>IF(X$3&gt;=Inputs!$D$8,IF(ISNUMBER(Inputs!$D46)=TRUE,(X7+X18/2)*1/Inputs!$D46,0),0)</f>
        <v>18867.680126765379</v>
      </c>
      <c r="Y29" s="28">
        <f>IF(Y$3&gt;=Inputs!$D$8,IF(ISNUMBER(Inputs!$D46)=TRUE,(Y7+Y18/2)*1/Inputs!$D46,0),0)</f>
        <v>17924.296120427109</v>
      </c>
      <c r="Z29" s="28">
        <f>IF(Z$3&gt;=Inputs!$D$8,IF(ISNUMBER(Inputs!$D46)=TRUE,(Z7+Z18/2)*1/Inputs!$D46,0),0)</f>
        <v>17028.081314405754</v>
      </c>
      <c r="AA29" s="28">
        <f>IF(AA$3&gt;=Inputs!$D$8,IF(ISNUMBER(Inputs!$D46)=TRUE,(AA7+AA18/2)*1/Inputs!$D46,0),0)</f>
        <v>16176.677248685466</v>
      </c>
      <c r="AB29" s="28">
        <f>IF(AB$3&gt;=Inputs!$D$8,IF(ISNUMBER(Inputs!$D46)=TRUE,(AB7+AB18/2)*1/Inputs!$D46,0),0)</f>
        <v>15367.843386251194</v>
      </c>
      <c r="AC29" s="28">
        <f>IF(AC$3&gt;=Inputs!$D$8,IF(ISNUMBER(Inputs!$D46)=TRUE,(AC7+AC18/2)*1/Inputs!$D46,0),0)</f>
        <v>14599.451216938634</v>
      </c>
      <c r="AD29" s="28">
        <f>IF(AD$3&gt;=Inputs!$D$8,IF(ISNUMBER(Inputs!$D46)=TRUE,(AD7+AD18/2)*1/Inputs!$D46,0),0)</f>
        <v>13869.478656091704</v>
      </c>
    </row>
    <row r="30" spans="1:30" x14ac:dyDescent="0.2">
      <c r="A30" s="31" t="str">
        <f>IF(Inputs!A36&lt;&gt;"",Inputs!A36,"")</f>
        <v>Generator</v>
      </c>
      <c r="B30" s="12" t="s">
        <v>6</v>
      </c>
      <c r="C30" s="41"/>
      <c r="D30" s="28">
        <f>IF(D$3&gt;=Inputs!$D$8,IF(ISNUMBER(Inputs!$D47)=TRUE,(D8+D19/2)*1/Inputs!$D47,0),0)</f>
        <v>0</v>
      </c>
      <c r="E30" s="28">
        <f>IF(E$3&gt;=Inputs!$D$8,IF(ISNUMBER(Inputs!$D47)=TRUE,(E8+E19/2)*1/Inputs!$D47,0),0)</f>
        <v>1000000</v>
      </c>
      <c r="F30" s="28">
        <f>IF(F$3&gt;=Inputs!$D$8,IF(ISNUMBER(Inputs!$D47)=TRUE,(F8+F19/2)*1/Inputs!$D47,0),0)</f>
        <v>950000</v>
      </c>
      <c r="G30" s="28">
        <f>IF(G$3&gt;=Inputs!$D$8,IF(ISNUMBER(Inputs!$D47)=TRUE,(G8+G19/2)*1/Inputs!$D47,0),0)</f>
        <v>902500</v>
      </c>
      <c r="H30" s="28">
        <f>IF(H$3&gt;=Inputs!$D$8,IF(ISNUMBER(Inputs!$D47)=TRUE,(H8+H19/2)*1/Inputs!$D47,0),0)</f>
        <v>857375</v>
      </c>
      <c r="I30" s="28">
        <f>IF(I$3&gt;=Inputs!$D$8,IF(ISNUMBER(Inputs!$D47)=TRUE,(I8+I19/2)*1/Inputs!$D47,0),0)</f>
        <v>814506.25</v>
      </c>
      <c r="J30" s="28">
        <f>IF(J$3&gt;=Inputs!$D$8,IF(ISNUMBER(Inputs!$D47)=TRUE,(J8+J19/2)*1/Inputs!$D47,0),0)</f>
        <v>773780.9375</v>
      </c>
      <c r="K30" s="28">
        <f>IF(K$3&gt;=Inputs!$D$8,IF(ISNUMBER(Inputs!$D47)=TRUE,(K8+K19/2)*1/Inputs!$D47,0),0)</f>
        <v>735091.890625</v>
      </c>
      <c r="L30" s="28">
        <f>IF(L$3&gt;=Inputs!$D$8,IF(ISNUMBER(Inputs!$D47)=TRUE,(L8+L19/2)*1/Inputs!$D47,0),0)</f>
        <v>698337.29609375005</v>
      </c>
      <c r="M30" s="28">
        <f>IF(M$3&gt;=Inputs!$D$8,IF(ISNUMBER(Inputs!$D47)=TRUE,(M8+M19/2)*1/Inputs!$D47,0),0)</f>
        <v>663420.43128906249</v>
      </c>
      <c r="N30" s="28">
        <f>IF(N$3&gt;=Inputs!$D$8,IF(ISNUMBER(Inputs!$D47)=TRUE,(N8+N19/2)*1/Inputs!$D47,0),0)</f>
        <v>630249.40972460934</v>
      </c>
      <c r="O30" s="28">
        <f>IF(O$3&gt;=Inputs!$D$8,IF(ISNUMBER(Inputs!$D47)=TRUE,(O8+O19/2)*1/Inputs!$D47,0),0)</f>
        <v>598736.93923837889</v>
      </c>
      <c r="P30" s="28">
        <f>IF(P$3&gt;=Inputs!$D$8,IF(ISNUMBER(Inputs!$D47)=TRUE,(P8+P19/2)*1/Inputs!$D47,0),0)</f>
        <v>568800.09227645991</v>
      </c>
      <c r="Q30" s="28">
        <f>IF(Q$3&gt;=Inputs!$D$8,IF(ISNUMBER(Inputs!$D47)=TRUE,(Q8+Q19/2)*1/Inputs!$D47,0),0)</f>
        <v>540360.087662637</v>
      </c>
      <c r="R30" s="28">
        <f>IF(R$3&gt;=Inputs!$D$8,IF(ISNUMBER(Inputs!$D47)=TRUE,(R8+R19/2)*1/Inputs!$D47,0),0)</f>
        <v>513342.08327950508</v>
      </c>
      <c r="S30" s="28">
        <f>IF(S$3&gt;=Inputs!$D$8,IF(ISNUMBER(Inputs!$D47)=TRUE,(S8+S19/2)*1/Inputs!$D47,0),0)</f>
        <v>487674.9791155298</v>
      </c>
      <c r="T30" s="28">
        <f>IF(T$3&gt;=Inputs!$D$8,IF(ISNUMBER(Inputs!$D47)=TRUE,(T8+T19/2)*1/Inputs!$D47,0),0)</f>
        <v>463291.23015975335</v>
      </c>
      <c r="U30" s="28">
        <f>IF(U$3&gt;=Inputs!$D$8,IF(ISNUMBER(Inputs!$D47)=TRUE,(U8+U19/2)*1/Inputs!$D47,0),0)</f>
        <v>440126.66865176568</v>
      </c>
      <c r="V30" s="28">
        <f>IF(V$3&gt;=Inputs!$D$8,IF(ISNUMBER(Inputs!$D47)=TRUE,(V8+V19/2)*1/Inputs!$D47,0),0)</f>
        <v>418120.33521917742</v>
      </c>
      <c r="W30" s="28">
        <f>IF(W$3&gt;=Inputs!$D$8,IF(ISNUMBER(Inputs!$D47)=TRUE,(W8+W19/2)*1/Inputs!$D47,0),0)</f>
        <v>397214.31845821853</v>
      </c>
      <c r="X30" s="28">
        <f>IF(X$3&gt;=Inputs!$D$8,IF(ISNUMBER(Inputs!$D47)=TRUE,(X8+X19/2)*1/Inputs!$D47,0),0)</f>
        <v>377353.60253530764</v>
      </c>
      <c r="Y30" s="28">
        <f>IF(Y$3&gt;=Inputs!$D$8,IF(ISNUMBER(Inputs!$D47)=TRUE,(Y8+Y19/2)*1/Inputs!$D47,0),0)</f>
        <v>358485.92240854225</v>
      </c>
      <c r="Z30" s="28">
        <f>IF(Z$3&gt;=Inputs!$D$8,IF(ISNUMBER(Inputs!$D47)=TRUE,(Z8+Z19/2)*1/Inputs!$D47,0),0)</f>
        <v>340561.62628811516</v>
      </c>
      <c r="AA30" s="28">
        <f>IF(AA$3&gt;=Inputs!$D$8,IF(ISNUMBER(Inputs!$D47)=TRUE,(AA8+AA19/2)*1/Inputs!$D47,0),0)</f>
        <v>323533.54497370939</v>
      </c>
      <c r="AB30" s="28">
        <f>IF(AB$3&gt;=Inputs!$D$8,IF(ISNUMBER(Inputs!$D47)=TRUE,(AB8+AB19/2)*1/Inputs!$D47,0),0)</f>
        <v>307356.86772502388</v>
      </c>
      <c r="AC30" s="28">
        <f>IF(AC$3&gt;=Inputs!$D$8,IF(ISNUMBER(Inputs!$D47)=TRUE,(AC8+AC19/2)*1/Inputs!$D47,0),0)</f>
        <v>291989.0243387727</v>
      </c>
      <c r="AD30" s="28">
        <f>IF(AD$3&gt;=Inputs!$D$8,IF(ISNUMBER(Inputs!$D47)=TRUE,(AD8+AD19/2)*1/Inputs!$D47,0),0)</f>
        <v>277389.57312183408</v>
      </c>
    </row>
    <row r="31" spans="1:30" x14ac:dyDescent="0.2">
      <c r="A31" s="31" t="str">
        <f>IF(Inputs!A37&lt;&gt;"",Inputs!A37,"")</f>
        <v>Network</v>
      </c>
      <c r="B31" s="12" t="s">
        <v>6</v>
      </c>
      <c r="C31" s="41"/>
      <c r="D31" s="28">
        <f>IF(D$3&gt;=Inputs!$D$8,IF(ISNUMBER(Inputs!$D48)=TRUE,(D9+D20/2)*1/Inputs!$D48,0),0)</f>
        <v>0</v>
      </c>
      <c r="E31" s="28">
        <f>IF(E$3&gt;=Inputs!$D$8,IF(ISNUMBER(Inputs!$D48)=TRUE,(E9+E20/2)*1/Inputs!$D48,0),0)</f>
        <v>200000</v>
      </c>
      <c r="F31" s="28">
        <f>IF(F$3&gt;=Inputs!$D$8,IF(ISNUMBER(Inputs!$D48)=TRUE,(F9+F20/2)*1/Inputs!$D48,0),0)</f>
        <v>190000</v>
      </c>
      <c r="G31" s="28">
        <f>IF(G$3&gt;=Inputs!$D$8,IF(ISNUMBER(Inputs!$D48)=TRUE,(G9+G20/2)*1/Inputs!$D48,0),0)</f>
        <v>180500</v>
      </c>
      <c r="H31" s="28">
        <f>IF(H$3&gt;=Inputs!$D$8,IF(ISNUMBER(Inputs!$D48)=TRUE,(H9+H20/2)*1/Inputs!$D48,0),0)</f>
        <v>171475</v>
      </c>
      <c r="I31" s="28">
        <f>IF(I$3&gt;=Inputs!$D$8,IF(ISNUMBER(Inputs!$D48)=TRUE,(I9+I20/2)*1/Inputs!$D48,0),0)</f>
        <v>162901.25</v>
      </c>
      <c r="J31" s="28">
        <f>IF(J$3&gt;=Inputs!$D$8,IF(ISNUMBER(Inputs!$D48)=TRUE,(J9+J20/2)*1/Inputs!$D48,0),0)</f>
        <v>154756.1875</v>
      </c>
      <c r="K31" s="28">
        <f>IF(K$3&gt;=Inputs!$D$8,IF(ISNUMBER(Inputs!$D48)=TRUE,(K9+K20/2)*1/Inputs!$D48,0),0)</f>
        <v>147018.37812499999</v>
      </c>
      <c r="L31" s="28">
        <f>IF(L$3&gt;=Inputs!$D$8,IF(ISNUMBER(Inputs!$D48)=TRUE,(L9+L20/2)*1/Inputs!$D48,0),0)</f>
        <v>139667.45921875001</v>
      </c>
      <c r="M31" s="28">
        <f>IF(M$3&gt;=Inputs!$D$8,IF(ISNUMBER(Inputs!$D48)=TRUE,(M9+M20/2)*1/Inputs!$D48,0),0)</f>
        <v>132684.08625781251</v>
      </c>
      <c r="N31" s="28">
        <f>IF(N$3&gt;=Inputs!$D$8,IF(ISNUMBER(Inputs!$D48)=TRUE,(N9+N20/2)*1/Inputs!$D48,0),0)</f>
        <v>126049.88194492189</v>
      </c>
      <c r="O31" s="28">
        <f>IF(O$3&gt;=Inputs!$D$8,IF(ISNUMBER(Inputs!$D48)=TRUE,(O9+O20/2)*1/Inputs!$D48,0),0)</f>
        <v>119747.3878476758</v>
      </c>
      <c r="P31" s="28">
        <f>IF(P$3&gt;=Inputs!$D$8,IF(ISNUMBER(Inputs!$D48)=TRUE,(P9+P20/2)*1/Inputs!$D48,0),0)</f>
        <v>113760.01845529201</v>
      </c>
      <c r="Q31" s="28">
        <f>IF(Q$3&gt;=Inputs!$D$8,IF(ISNUMBER(Inputs!$D48)=TRUE,(Q9+Q20/2)*1/Inputs!$D48,0),0)</f>
        <v>108072.0175325274</v>
      </c>
      <c r="R31" s="28">
        <f>IF(R$3&gt;=Inputs!$D$8,IF(ISNUMBER(Inputs!$D48)=TRUE,(R9+R20/2)*1/Inputs!$D48,0),0)</f>
        <v>102668.41665590103</v>
      </c>
      <c r="S31" s="28">
        <f>IF(S$3&gt;=Inputs!$D$8,IF(ISNUMBER(Inputs!$D48)=TRUE,(S9+S20/2)*1/Inputs!$D48,0),0)</f>
        <v>97534.995823105972</v>
      </c>
      <c r="T31" s="28">
        <f>IF(T$3&gt;=Inputs!$D$8,IF(ISNUMBER(Inputs!$D48)=TRUE,(T9+T20/2)*1/Inputs!$D48,0),0)</f>
        <v>92658.246031950664</v>
      </c>
      <c r="U31" s="28">
        <f>IF(U$3&gt;=Inputs!$D$8,IF(ISNUMBER(Inputs!$D48)=TRUE,(U9+U20/2)*1/Inputs!$D48,0),0)</f>
        <v>88025.33373035313</v>
      </c>
      <c r="V31" s="28">
        <f>IF(V$3&gt;=Inputs!$D$8,IF(ISNUMBER(Inputs!$D48)=TRUE,(V9+V20/2)*1/Inputs!$D48,0),0)</f>
        <v>83624.067043835486</v>
      </c>
      <c r="W31" s="28">
        <f>IF(W$3&gt;=Inputs!$D$8,IF(ISNUMBER(Inputs!$D48)=TRUE,(W9+W20/2)*1/Inputs!$D48,0),0)</f>
        <v>79442.86369164371</v>
      </c>
      <c r="X31" s="28">
        <f>IF(X$3&gt;=Inputs!$D$8,IF(ISNUMBER(Inputs!$D48)=TRUE,(X9+X20/2)*1/Inputs!$D48,0),0)</f>
        <v>75470.720507061516</v>
      </c>
      <c r="Y31" s="28">
        <f>IF(Y$3&gt;=Inputs!$D$8,IF(ISNUMBER(Inputs!$D48)=TRUE,(Y9+Y20/2)*1/Inputs!$D48,0),0)</f>
        <v>71697.184481708435</v>
      </c>
      <c r="Z31" s="28">
        <f>IF(Z$3&gt;=Inputs!$D$8,IF(ISNUMBER(Inputs!$D48)=TRUE,(Z9+Z20/2)*1/Inputs!$D48,0),0)</f>
        <v>68112.325257623015</v>
      </c>
      <c r="AA31" s="28">
        <f>IF(AA$3&gt;=Inputs!$D$8,IF(ISNUMBER(Inputs!$D48)=TRUE,(AA9+AA20/2)*1/Inputs!$D48,0),0)</f>
        <v>64706.708994741864</v>
      </c>
      <c r="AB31" s="28">
        <f>IF(AB$3&gt;=Inputs!$D$8,IF(ISNUMBER(Inputs!$D48)=TRUE,(AB9+AB20/2)*1/Inputs!$D48,0),0)</f>
        <v>61471.373545004775</v>
      </c>
      <c r="AC31" s="28">
        <f>IF(AC$3&gt;=Inputs!$D$8,IF(ISNUMBER(Inputs!$D48)=TRUE,(AC9+AC20/2)*1/Inputs!$D48,0),0)</f>
        <v>58397.804867754538</v>
      </c>
      <c r="AD31" s="28">
        <f>IF(AD$3&gt;=Inputs!$D$8,IF(ISNUMBER(Inputs!$D48)=TRUE,(AD9+AD20/2)*1/Inputs!$D48,0),0)</f>
        <v>55477.914624366815</v>
      </c>
    </row>
    <row r="32" spans="1:30" x14ac:dyDescent="0.2">
      <c r="A32" s="31" t="str">
        <f>IF(Inputs!A38&lt;&gt;"",Inputs!A38,"")</f>
        <v>Land</v>
      </c>
      <c r="B32" s="12" t="s">
        <v>6</v>
      </c>
      <c r="C32" s="41"/>
      <c r="D32" s="28">
        <f>IF(D$3&gt;=Inputs!$D$8,IF(ISNUMBER(Inputs!$D49)=TRUE,(D10+D21/2)*1/Inputs!$D49,0),0)</f>
        <v>0</v>
      </c>
      <c r="E32" s="28">
        <f>IF(E$3&gt;=Inputs!$D$8,IF(ISNUMBER(Inputs!$D49)=TRUE,(E10+E21/2)*1/Inputs!$D49,0),0)</f>
        <v>50000</v>
      </c>
      <c r="F32" s="28">
        <f>IF(F$3&gt;=Inputs!$D$8,IF(ISNUMBER(Inputs!$D49)=TRUE,(F10+F21/2)*1/Inputs!$D49,0),0)</f>
        <v>47500</v>
      </c>
      <c r="G32" s="28">
        <f>IF(G$3&gt;=Inputs!$D$8,IF(ISNUMBER(Inputs!$D49)=TRUE,(G10+G21/2)*1/Inputs!$D49,0),0)</f>
        <v>45125</v>
      </c>
      <c r="H32" s="28">
        <f>IF(H$3&gt;=Inputs!$D$8,IF(ISNUMBER(Inputs!$D49)=TRUE,(H10+H21/2)*1/Inputs!$D49,0),0)</f>
        <v>42868.75</v>
      </c>
      <c r="I32" s="28">
        <f>IF(I$3&gt;=Inputs!$D$8,IF(ISNUMBER(Inputs!$D49)=TRUE,(I10+I21/2)*1/Inputs!$D49,0),0)</f>
        <v>40725.3125</v>
      </c>
      <c r="J32" s="28">
        <f>IF(J$3&gt;=Inputs!$D$8,IF(ISNUMBER(Inputs!$D49)=TRUE,(J10+J21/2)*1/Inputs!$D49,0),0)</f>
        <v>38689.046875</v>
      </c>
      <c r="K32" s="28">
        <f>IF(K$3&gt;=Inputs!$D$8,IF(ISNUMBER(Inputs!$D49)=TRUE,(K10+K21/2)*1/Inputs!$D49,0),0)</f>
        <v>36754.594531249997</v>
      </c>
      <c r="L32" s="28">
        <f>IF(L$3&gt;=Inputs!$D$8,IF(ISNUMBER(Inputs!$D49)=TRUE,(L10+L21/2)*1/Inputs!$D49,0),0)</f>
        <v>34916.864804687502</v>
      </c>
      <c r="M32" s="28">
        <f>IF(M$3&gt;=Inputs!$D$8,IF(ISNUMBER(Inputs!$D49)=TRUE,(M10+M21/2)*1/Inputs!$D49,0),0)</f>
        <v>33171.021564453127</v>
      </c>
      <c r="N32" s="28">
        <f>IF(N$3&gt;=Inputs!$D$8,IF(ISNUMBER(Inputs!$D49)=TRUE,(N10+N21/2)*1/Inputs!$D49,0),0)</f>
        <v>31512.470486230472</v>
      </c>
      <c r="O32" s="28">
        <f>IF(O$3&gt;=Inputs!$D$8,IF(ISNUMBER(Inputs!$D49)=TRUE,(O10+O21/2)*1/Inputs!$D49,0),0)</f>
        <v>29936.846961918949</v>
      </c>
      <c r="P32" s="28">
        <f>IF(P$3&gt;=Inputs!$D$8,IF(ISNUMBER(Inputs!$D49)=TRUE,(P10+P21/2)*1/Inputs!$D49,0),0)</f>
        <v>28440.004613823003</v>
      </c>
      <c r="Q32" s="28">
        <f>IF(Q$3&gt;=Inputs!$D$8,IF(ISNUMBER(Inputs!$D49)=TRUE,(Q10+Q21/2)*1/Inputs!$D49,0),0)</f>
        <v>27018.004383131851</v>
      </c>
      <c r="R32" s="28">
        <f>IF(R$3&gt;=Inputs!$D$8,IF(ISNUMBER(Inputs!$D49)=TRUE,(R10+R21/2)*1/Inputs!$D49,0),0)</f>
        <v>25667.104163975258</v>
      </c>
      <c r="S32" s="28">
        <f>IF(S$3&gt;=Inputs!$D$8,IF(ISNUMBER(Inputs!$D49)=TRUE,(S10+S21/2)*1/Inputs!$D49,0),0)</f>
        <v>24383.748955776493</v>
      </c>
      <c r="T32" s="28">
        <f>IF(T$3&gt;=Inputs!$D$8,IF(ISNUMBER(Inputs!$D49)=TRUE,(T10+T21/2)*1/Inputs!$D49,0),0)</f>
        <v>23164.561507987666</v>
      </c>
      <c r="U32" s="28">
        <f>IF(U$3&gt;=Inputs!$D$8,IF(ISNUMBER(Inputs!$D49)=TRUE,(U10+U21/2)*1/Inputs!$D49,0),0)</f>
        <v>22006.333432588282</v>
      </c>
      <c r="V32" s="28">
        <f>IF(V$3&gt;=Inputs!$D$8,IF(ISNUMBER(Inputs!$D49)=TRUE,(V10+V21/2)*1/Inputs!$D49,0),0)</f>
        <v>20906.016760958872</v>
      </c>
      <c r="W32" s="28">
        <f>IF(W$3&gt;=Inputs!$D$8,IF(ISNUMBER(Inputs!$D49)=TRUE,(W10+W21/2)*1/Inputs!$D49,0),0)</f>
        <v>19860.715922910927</v>
      </c>
      <c r="X32" s="28">
        <f>IF(X$3&gt;=Inputs!$D$8,IF(ISNUMBER(Inputs!$D49)=TRUE,(X10+X21/2)*1/Inputs!$D49,0),0)</f>
        <v>18867.680126765379</v>
      </c>
      <c r="Y32" s="28">
        <f>IF(Y$3&gt;=Inputs!$D$8,IF(ISNUMBER(Inputs!$D49)=TRUE,(Y10+Y21/2)*1/Inputs!$D49,0),0)</f>
        <v>17924.296120427109</v>
      </c>
      <c r="Z32" s="28">
        <f>IF(Z$3&gt;=Inputs!$D$8,IF(ISNUMBER(Inputs!$D49)=TRUE,(Z10+Z21/2)*1/Inputs!$D49,0),0)</f>
        <v>17028.081314405754</v>
      </c>
      <c r="AA32" s="28">
        <f>IF(AA$3&gt;=Inputs!$D$8,IF(ISNUMBER(Inputs!$D49)=TRUE,(AA10+AA21/2)*1/Inputs!$D49,0),0)</f>
        <v>16176.677248685466</v>
      </c>
      <c r="AB32" s="28">
        <f>IF(AB$3&gt;=Inputs!$D$8,IF(ISNUMBER(Inputs!$D49)=TRUE,(AB10+AB21/2)*1/Inputs!$D49,0),0)</f>
        <v>15367.843386251194</v>
      </c>
      <c r="AC32" s="28">
        <f>IF(AC$3&gt;=Inputs!$D$8,IF(ISNUMBER(Inputs!$D49)=TRUE,(AC10+AC21/2)*1/Inputs!$D49,0),0)</f>
        <v>14599.451216938634</v>
      </c>
      <c r="AD32" s="28">
        <f>IF(AD$3&gt;=Inputs!$D$8,IF(ISNUMBER(Inputs!$D49)=TRUE,(AD10+AD21/2)*1/Inputs!$D49,0),0)</f>
        <v>13869.478656091704</v>
      </c>
    </row>
    <row r="33" spans="1:30" x14ac:dyDescent="0.2">
      <c r="A33" s="31" t="str">
        <f>IF(Inputs!A39&lt;&gt;"",Inputs!A39,"")</f>
        <v>Meters</v>
      </c>
      <c r="B33" s="12" t="s">
        <v>6</v>
      </c>
      <c r="C33" s="41"/>
      <c r="D33" s="28">
        <f>IF(D$3&gt;=Inputs!$D$8,IF(ISNUMBER(Inputs!$D50)=TRUE,(D11+D22/2)*1/Inputs!$D50,0),0)</f>
        <v>0</v>
      </c>
      <c r="E33" s="28">
        <f>IF(E$3&gt;=Inputs!$D$8,IF(ISNUMBER(Inputs!$D50)=TRUE,(E11+E22/2)*1/Inputs!$D50,0),0)</f>
        <v>10000</v>
      </c>
      <c r="F33" s="28">
        <f>IF(F$3&gt;=Inputs!$D$8,IF(ISNUMBER(Inputs!$D50)=TRUE,(F11+F22/2)*1/Inputs!$D50,0),0)</f>
        <v>9500</v>
      </c>
      <c r="G33" s="28">
        <f>IF(G$3&gt;=Inputs!$D$8,IF(ISNUMBER(Inputs!$D50)=TRUE,(G11+G22/2)*1/Inputs!$D50,0),0)</f>
        <v>9025</v>
      </c>
      <c r="H33" s="28">
        <f>IF(H$3&gt;=Inputs!$D$8,IF(ISNUMBER(Inputs!$D50)=TRUE,(H11+H22/2)*1/Inputs!$D50,0),0)</f>
        <v>8573.75</v>
      </c>
      <c r="I33" s="28">
        <f>IF(I$3&gt;=Inputs!$D$8,IF(ISNUMBER(Inputs!$D50)=TRUE,(I11+I22/2)*1/Inputs!$D50,0),0)</f>
        <v>8145.0625</v>
      </c>
      <c r="J33" s="28">
        <f>IF(J$3&gt;=Inputs!$D$8,IF(ISNUMBER(Inputs!$D50)=TRUE,(J11+J22/2)*1/Inputs!$D50,0),0)</f>
        <v>7737.8093749999998</v>
      </c>
      <c r="K33" s="28">
        <f>IF(K$3&gt;=Inputs!$D$8,IF(ISNUMBER(Inputs!$D50)=TRUE,(K11+K22/2)*1/Inputs!$D50,0),0)</f>
        <v>7350.9189062499991</v>
      </c>
      <c r="L33" s="28">
        <f>IF(L$3&gt;=Inputs!$D$8,IF(ISNUMBER(Inputs!$D50)=TRUE,(L11+L22/2)*1/Inputs!$D50,0),0)</f>
        <v>6983.3729609374986</v>
      </c>
      <c r="M33" s="28">
        <f>IF(M$3&gt;=Inputs!$D$8,IF(ISNUMBER(Inputs!$D50)=TRUE,(M11+M22/2)*1/Inputs!$D50,0),0)</f>
        <v>6634.2043128906244</v>
      </c>
      <c r="N33" s="28">
        <f>IF(N$3&gt;=Inputs!$D$8,IF(ISNUMBER(Inputs!$D50)=TRUE,(N11+N22/2)*1/Inputs!$D50,0),0)</f>
        <v>6302.4940972460927</v>
      </c>
      <c r="O33" s="28">
        <f>IF(O$3&gt;=Inputs!$D$8,IF(ISNUMBER(Inputs!$D50)=TRUE,(O11+O22/2)*1/Inputs!$D50,0),0)</f>
        <v>5987.3693923837882</v>
      </c>
      <c r="P33" s="28">
        <f>IF(P$3&gt;=Inputs!$D$8,IF(ISNUMBER(Inputs!$D50)=TRUE,(P11+P22/2)*1/Inputs!$D50,0),0)</f>
        <v>5688.0009227645987</v>
      </c>
      <c r="Q33" s="28">
        <f>IF(Q$3&gt;=Inputs!$D$8,IF(ISNUMBER(Inputs!$D50)=TRUE,(Q11+Q22/2)*1/Inputs!$D50,0),0)</f>
        <v>5403.6008766263694</v>
      </c>
      <c r="R33" s="28">
        <f>IF(R$3&gt;=Inputs!$D$8,IF(ISNUMBER(Inputs!$D50)=TRUE,(R11+R22/2)*1/Inputs!$D50,0),0)</f>
        <v>5133.420832795051</v>
      </c>
      <c r="S33" s="28">
        <f>IF(S$3&gt;=Inputs!$D$8,IF(ISNUMBER(Inputs!$D50)=TRUE,(S11+S22/2)*1/Inputs!$D50,0),0)</f>
        <v>4876.7497911552982</v>
      </c>
      <c r="T33" s="28">
        <f>IF(T$3&gt;=Inputs!$D$8,IF(ISNUMBER(Inputs!$D50)=TRUE,(T11+T22/2)*1/Inputs!$D50,0),0)</f>
        <v>4632.9123015975338</v>
      </c>
      <c r="U33" s="28">
        <f>IF(U$3&gt;=Inputs!$D$8,IF(ISNUMBER(Inputs!$D50)=TRUE,(U11+U22/2)*1/Inputs!$D50,0),0)</f>
        <v>4401.266686517657</v>
      </c>
      <c r="V33" s="28">
        <f>IF(V$3&gt;=Inputs!$D$8,IF(ISNUMBER(Inputs!$D50)=TRUE,(V11+V22/2)*1/Inputs!$D50,0),0)</f>
        <v>4181.2033521917747</v>
      </c>
      <c r="W33" s="28">
        <f>IF(W$3&gt;=Inputs!$D$8,IF(ISNUMBER(Inputs!$D50)=TRUE,(W11+W22/2)*1/Inputs!$D50,0),0)</f>
        <v>3972.1431845821853</v>
      </c>
      <c r="X33" s="28">
        <f>IF(X$3&gt;=Inputs!$D$8,IF(ISNUMBER(Inputs!$D50)=TRUE,(X11+X22/2)*1/Inputs!$D50,0),0)</f>
        <v>3773.5360253530766</v>
      </c>
      <c r="Y33" s="28">
        <f>IF(Y$3&gt;=Inputs!$D$8,IF(ISNUMBER(Inputs!$D50)=TRUE,(Y11+Y22/2)*1/Inputs!$D50,0),0)</f>
        <v>3584.8592240854223</v>
      </c>
      <c r="Z33" s="28">
        <f>IF(Z$3&gt;=Inputs!$D$8,IF(ISNUMBER(Inputs!$D50)=TRUE,(Z11+Z22/2)*1/Inputs!$D50,0),0)</f>
        <v>3405.6162628811517</v>
      </c>
      <c r="AA33" s="28">
        <f>IF(AA$3&gt;=Inputs!$D$8,IF(ISNUMBER(Inputs!$D50)=TRUE,(AA11+AA22/2)*1/Inputs!$D50,0),0)</f>
        <v>3235.3354497370938</v>
      </c>
      <c r="AB33" s="28">
        <f>IF(AB$3&gt;=Inputs!$D$8,IF(ISNUMBER(Inputs!$D50)=TRUE,(AB11+AB22/2)*1/Inputs!$D50,0),0)</f>
        <v>3073.568677250239</v>
      </c>
      <c r="AC33" s="28">
        <f>IF(AC$3&gt;=Inputs!$D$8,IF(ISNUMBER(Inputs!$D50)=TRUE,(AC11+AC22/2)*1/Inputs!$D50,0),0)</f>
        <v>2919.8902433877274</v>
      </c>
      <c r="AD33" s="28">
        <f>IF(AD$3&gt;=Inputs!$D$8,IF(ISNUMBER(Inputs!$D50)=TRUE,(AD11+AD22/2)*1/Inputs!$D50,0),0)</f>
        <v>2773.8957312183406</v>
      </c>
    </row>
    <row r="34" spans="1:30" x14ac:dyDescent="0.2">
      <c r="A34" s="31" t="str">
        <f>IF(Inputs!A40&lt;&gt;"",Inputs!A40,"")</f>
        <v/>
      </c>
      <c r="B34" s="12" t="s">
        <v>6</v>
      </c>
      <c r="C34" s="41"/>
      <c r="D34" s="28">
        <f>IF(D$3&gt;=Inputs!$D$8,IF(ISNUMBER(Inputs!$D51)=TRUE,(D12+D23/2)*1/Inputs!$D51,0),0)</f>
        <v>0</v>
      </c>
      <c r="E34" s="28">
        <f>IF(E$3&gt;=Inputs!$D$8,IF(ISNUMBER(Inputs!$D51)=TRUE,(E12+E23/2)*1/Inputs!$D51,0),0)</f>
        <v>0</v>
      </c>
      <c r="F34" s="28">
        <f>IF(F$3&gt;=Inputs!$D$8,IF(ISNUMBER(Inputs!$D51)=TRUE,(F12+F23/2)*1/Inputs!$D51,0),0)</f>
        <v>0</v>
      </c>
      <c r="G34" s="28">
        <f>IF(G$3&gt;=Inputs!$D$8,IF(ISNUMBER(Inputs!$D51)=TRUE,(G12+G23/2)*1/Inputs!$D51,0),0)</f>
        <v>0</v>
      </c>
      <c r="H34" s="28">
        <f>IF(H$3&gt;=Inputs!$D$8,IF(ISNUMBER(Inputs!$D51)=TRUE,(H12+H23/2)*1/Inputs!$D51,0),0)</f>
        <v>0</v>
      </c>
      <c r="I34" s="28">
        <f>IF(I$3&gt;=Inputs!$D$8,IF(ISNUMBER(Inputs!$D51)=TRUE,(I12+I23/2)*1/Inputs!$D51,0),0)</f>
        <v>0</v>
      </c>
      <c r="J34" s="28">
        <f>IF(J$3&gt;=Inputs!$D$8,IF(ISNUMBER(Inputs!$D51)=TRUE,(J12+J23/2)*1/Inputs!$D51,0),0)</f>
        <v>0</v>
      </c>
      <c r="K34" s="28">
        <f>IF(K$3&gt;=Inputs!$D$8,IF(ISNUMBER(Inputs!$D51)=TRUE,(K12+K23/2)*1/Inputs!$D51,0),0)</f>
        <v>0</v>
      </c>
      <c r="L34" s="28">
        <f>IF(L$3&gt;=Inputs!$D$8,IF(ISNUMBER(Inputs!$D51)=TRUE,(L12+L23/2)*1/Inputs!$D51,0),0)</f>
        <v>0</v>
      </c>
      <c r="M34" s="28">
        <f>IF(M$3&gt;=Inputs!$D$8,IF(ISNUMBER(Inputs!$D51)=TRUE,(M12+M23/2)*1/Inputs!$D51,0),0)</f>
        <v>0</v>
      </c>
      <c r="N34" s="28">
        <f>IF(N$3&gt;=Inputs!$D$8,IF(ISNUMBER(Inputs!$D51)=TRUE,(N12+N23/2)*1/Inputs!$D51,0),0)</f>
        <v>0</v>
      </c>
      <c r="O34" s="28">
        <f>IF(O$3&gt;=Inputs!$D$8,IF(ISNUMBER(Inputs!$D51)=TRUE,(O12+O23/2)*1/Inputs!$D51,0),0)</f>
        <v>0</v>
      </c>
      <c r="P34" s="28">
        <f>IF(P$3&gt;=Inputs!$D$8,IF(ISNUMBER(Inputs!$D51)=TRUE,(P12+P23/2)*1/Inputs!$D51,0),0)</f>
        <v>0</v>
      </c>
      <c r="Q34" s="28">
        <f>IF(Q$3&gt;=Inputs!$D$8,IF(ISNUMBER(Inputs!$D51)=TRUE,(Q12+Q23/2)*1/Inputs!$D51,0),0)</f>
        <v>0</v>
      </c>
      <c r="R34" s="28">
        <f>IF(R$3&gt;=Inputs!$D$8,IF(ISNUMBER(Inputs!$D51)=TRUE,(R12+R23/2)*1/Inputs!$D51,0),0)</f>
        <v>0</v>
      </c>
      <c r="S34" s="28">
        <f>IF(S$3&gt;=Inputs!$D$8,IF(ISNUMBER(Inputs!$D51)=TRUE,(S12+S23/2)*1/Inputs!$D51,0),0)</f>
        <v>0</v>
      </c>
      <c r="T34" s="28">
        <f>IF(T$3&gt;=Inputs!$D$8,IF(ISNUMBER(Inputs!$D51)=TRUE,(T12+T23/2)*1/Inputs!$D51,0),0)</f>
        <v>0</v>
      </c>
      <c r="U34" s="28">
        <f>IF(U$3&gt;=Inputs!$D$8,IF(ISNUMBER(Inputs!$D51)=TRUE,(U12+U23/2)*1/Inputs!$D51,0),0)</f>
        <v>0</v>
      </c>
      <c r="V34" s="28">
        <f>IF(V$3&gt;=Inputs!$D$8,IF(ISNUMBER(Inputs!$D51)=TRUE,(V12+V23/2)*1/Inputs!$D51,0),0)</f>
        <v>0</v>
      </c>
      <c r="W34" s="28">
        <f>IF(W$3&gt;=Inputs!$D$8,IF(ISNUMBER(Inputs!$D51)=TRUE,(W12+W23/2)*1/Inputs!$D51,0),0)</f>
        <v>0</v>
      </c>
      <c r="X34" s="28">
        <f>IF(X$3&gt;=Inputs!$D$8,IF(ISNUMBER(Inputs!$D51)=TRUE,(X12+X23/2)*1/Inputs!$D51,0),0)</f>
        <v>0</v>
      </c>
      <c r="Y34" s="28">
        <f>IF(Y$3&gt;=Inputs!$D$8,IF(ISNUMBER(Inputs!$D51)=TRUE,(Y12+Y23/2)*1/Inputs!$D51,0),0)</f>
        <v>0</v>
      </c>
      <c r="Z34" s="28">
        <f>IF(Z$3&gt;=Inputs!$D$8,IF(ISNUMBER(Inputs!$D51)=TRUE,(Z12+Z23/2)*1/Inputs!$D51,0),0)</f>
        <v>0</v>
      </c>
      <c r="AA34" s="28">
        <f>IF(AA$3&gt;=Inputs!$D$8,IF(ISNUMBER(Inputs!$D51)=TRUE,(AA12+AA23/2)*1/Inputs!$D51,0),0)</f>
        <v>0</v>
      </c>
      <c r="AB34" s="28">
        <f>IF(AB$3&gt;=Inputs!$D$8,IF(ISNUMBER(Inputs!$D51)=TRUE,(AB12+AB23/2)*1/Inputs!$D51,0),0)</f>
        <v>0</v>
      </c>
      <c r="AC34" s="28">
        <f>IF(AC$3&gt;=Inputs!$D$8,IF(ISNUMBER(Inputs!$D51)=TRUE,(AC12+AC23/2)*1/Inputs!$D51,0),0)</f>
        <v>0</v>
      </c>
      <c r="AD34" s="28">
        <f>IF(AD$3&gt;=Inputs!$D$8,IF(ISNUMBER(Inputs!$D51)=TRUE,(AD12+AD23/2)*1/Inputs!$D51,0),0)</f>
        <v>0</v>
      </c>
    </row>
    <row r="35" spans="1:30" x14ac:dyDescent="0.2">
      <c r="A35" s="31" t="str">
        <f>IF(Inputs!A41&lt;&gt;"",Inputs!A41,"")</f>
        <v/>
      </c>
      <c r="B35" s="12" t="s">
        <v>6</v>
      </c>
      <c r="C35" s="41"/>
      <c r="D35" s="28">
        <f>IF(D$3&gt;=Inputs!$D$8,IF(ISNUMBER(Inputs!$D52)=TRUE,(D13+D24/2)*1/Inputs!$D52,0),0)</f>
        <v>0</v>
      </c>
      <c r="E35" s="28">
        <f>IF(E$3&gt;=Inputs!$D$8,IF(ISNUMBER(Inputs!$D52)=TRUE,(E13+E24/2)*1/Inputs!$D52,0),0)</f>
        <v>0</v>
      </c>
      <c r="F35" s="28">
        <f>IF(F$3&gt;=Inputs!$D$8,IF(ISNUMBER(Inputs!$D52)=TRUE,(F13+F24/2)*1/Inputs!$D52,0),0)</f>
        <v>0</v>
      </c>
      <c r="G35" s="28">
        <f>IF(G$3&gt;=Inputs!$D$8,IF(ISNUMBER(Inputs!$D52)=TRUE,(G13+G24/2)*1/Inputs!$D52,0),0)</f>
        <v>0</v>
      </c>
      <c r="H35" s="28">
        <f>IF(H$3&gt;=Inputs!$D$8,IF(ISNUMBER(Inputs!$D52)=TRUE,(H13+H24/2)*1/Inputs!$D52,0),0)</f>
        <v>0</v>
      </c>
      <c r="I35" s="28">
        <f>IF(I$3&gt;=Inputs!$D$8,IF(ISNUMBER(Inputs!$D52)=TRUE,(I13+I24/2)*1/Inputs!$D52,0),0)</f>
        <v>0</v>
      </c>
      <c r="J35" s="28">
        <f>IF(J$3&gt;=Inputs!$D$8,IF(ISNUMBER(Inputs!$D52)=TRUE,(J13+J24/2)*1/Inputs!$D52,0),0)</f>
        <v>0</v>
      </c>
      <c r="K35" s="28">
        <f>IF(K$3&gt;=Inputs!$D$8,IF(ISNUMBER(Inputs!$D52)=TRUE,(K13+K24/2)*1/Inputs!$D52,0),0)</f>
        <v>0</v>
      </c>
      <c r="L35" s="28">
        <f>IF(L$3&gt;=Inputs!$D$8,IF(ISNUMBER(Inputs!$D52)=TRUE,(L13+L24/2)*1/Inputs!$D52,0),0)</f>
        <v>0</v>
      </c>
      <c r="M35" s="28">
        <f>IF(M$3&gt;=Inputs!$D$8,IF(ISNUMBER(Inputs!$D52)=TRUE,(M13+M24/2)*1/Inputs!$D52,0),0)</f>
        <v>0</v>
      </c>
      <c r="N35" s="28">
        <f>IF(N$3&gt;=Inputs!$D$8,IF(ISNUMBER(Inputs!$D52)=TRUE,(N13+N24/2)*1/Inputs!$D52,0),0)</f>
        <v>0</v>
      </c>
      <c r="O35" s="28">
        <f>IF(O$3&gt;=Inputs!$D$8,IF(ISNUMBER(Inputs!$D52)=TRUE,(O13+O24/2)*1/Inputs!$D52,0),0)</f>
        <v>0</v>
      </c>
      <c r="P35" s="28">
        <f>IF(P$3&gt;=Inputs!$D$8,IF(ISNUMBER(Inputs!$D52)=TRUE,(P13+P24/2)*1/Inputs!$D52,0),0)</f>
        <v>0</v>
      </c>
      <c r="Q35" s="28">
        <f>IF(Q$3&gt;=Inputs!$D$8,IF(ISNUMBER(Inputs!$D52)=TRUE,(Q13+Q24/2)*1/Inputs!$D52,0),0)</f>
        <v>0</v>
      </c>
      <c r="R35" s="28">
        <f>IF(R$3&gt;=Inputs!$D$8,IF(ISNUMBER(Inputs!$D52)=TRUE,(R13+R24/2)*1/Inputs!$D52,0),0)</f>
        <v>0</v>
      </c>
      <c r="S35" s="28">
        <f>IF(S$3&gt;=Inputs!$D$8,IF(ISNUMBER(Inputs!$D52)=TRUE,(S13+S24/2)*1/Inputs!$D52,0),0)</f>
        <v>0</v>
      </c>
      <c r="T35" s="28">
        <f>IF(T$3&gt;=Inputs!$D$8,IF(ISNUMBER(Inputs!$D52)=TRUE,(T13+T24/2)*1/Inputs!$D52,0),0)</f>
        <v>0</v>
      </c>
      <c r="U35" s="28">
        <f>IF(U$3&gt;=Inputs!$D$8,IF(ISNUMBER(Inputs!$D52)=TRUE,(U13+U24/2)*1/Inputs!$D52,0),0)</f>
        <v>0</v>
      </c>
      <c r="V35" s="28">
        <f>IF(V$3&gt;=Inputs!$D$8,IF(ISNUMBER(Inputs!$D52)=TRUE,(V13+V24/2)*1/Inputs!$D52,0),0)</f>
        <v>0</v>
      </c>
      <c r="W35" s="28">
        <f>IF(W$3&gt;=Inputs!$D$8,IF(ISNUMBER(Inputs!$D52)=TRUE,(W13+W24/2)*1/Inputs!$D52,0),0)</f>
        <v>0</v>
      </c>
      <c r="X35" s="28">
        <f>IF(X$3&gt;=Inputs!$D$8,IF(ISNUMBER(Inputs!$D52)=TRUE,(X13+X24/2)*1/Inputs!$D52,0),0)</f>
        <v>0</v>
      </c>
      <c r="Y35" s="28">
        <f>IF(Y$3&gt;=Inputs!$D$8,IF(ISNUMBER(Inputs!$D52)=TRUE,(Y13+Y24/2)*1/Inputs!$D52,0),0)</f>
        <v>0</v>
      </c>
      <c r="Z35" s="28">
        <f>IF(Z$3&gt;=Inputs!$D$8,IF(ISNUMBER(Inputs!$D52)=TRUE,(Z13+Z24/2)*1/Inputs!$D52,0),0)</f>
        <v>0</v>
      </c>
      <c r="AA35" s="28">
        <f>IF(AA$3&gt;=Inputs!$D$8,IF(ISNUMBER(Inputs!$D52)=TRUE,(AA13+AA24/2)*1/Inputs!$D52,0),0)</f>
        <v>0</v>
      </c>
      <c r="AB35" s="28">
        <f>IF(AB$3&gt;=Inputs!$D$8,IF(ISNUMBER(Inputs!$D52)=TRUE,(AB13+AB24/2)*1/Inputs!$D52,0),0)</f>
        <v>0</v>
      </c>
      <c r="AC35" s="28">
        <f>IF(AC$3&gt;=Inputs!$D$8,IF(ISNUMBER(Inputs!$D52)=TRUE,(AC13+AC24/2)*1/Inputs!$D52,0),0)</f>
        <v>0</v>
      </c>
      <c r="AD35" s="28">
        <f>IF(AD$3&gt;=Inputs!$D$8,IF(ISNUMBER(Inputs!$D52)=TRUE,(AD13+AD24/2)*1/Inputs!$D52,0),0)</f>
        <v>0</v>
      </c>
    </row>
    <row r="36" spans="1:30" x14ac:dyDescent="0.2">
      <c r="A36" s="31" t="s">
        <v>32</v>
      </c>
      <c r="B36" s="12" t="s">
        <v>6</v>
      </c>
      <c r="C36" s="41"/>
      <c r="D36" s="28">
        <f t="shared" ref="D36:F36" si="6">SUM(D29:D35)</f>
        <v>0</v>
      </c>
      <c r="E36" s="28">
        <f t="shared" si="6"/>
        <v>1310000</v>
      </c>
      <c r="F36" s="28">
        <f t="shared" si="6"/>
        <v>1244500</v>
      </c>
      <c r="G36" s="28">
        <f t="shared" ref="G36:AD36" si="7">SUM(G29:G35)</f>
        <v>1182275</v>
      </c>
      <c r="H36" s="28">
        <f t="shared" si="7"/>
        <v>1123161.25</v>
      </c>
      <c r="I36" s="28">
        <f t="shared" si="7"/>
        <v>1067003.1875</v>
      </c>
      <c r="J36" s="28">
        <f t="shared" si="7"/>
        <v>1013653.028125</v>
      </c>
      <c r="K36" s="28">
        <f t="shared" si="7"/>
        <v>962970.37671874999</v>
      </c>
      <c r="L36" s="28">
        <f t="shared" si="7"/>
        <v>914821.85788281239</v>
      </c>
      <c r="M36" s="28">
        <f t="shared" si="7"/>
        <v>869080.76498867187</v>
      </c>
      <c r="N36" s="28">
        <f t="shared" si="7"/>
        <v>825626.72673923825</v>
      </c>
      <c r="O36" s="28">
        <f t="shared" si="7"/>
        <v>784345.39040227653</v>
      </c>
      <c r="P36" s="28">
        <f t="shared" si="7"/>
        <v>745128.12088216259</v>
      </c>
      <c r="Q36" s="28">
        <f t="shared" si="7"/>
        <v>707871.7148380545</v>
      </c>
      <c r="R36" s="28">
        <f t="shared" si="7"/>
        <v>672478.12909615168</v>
      </c>
      <c r="S36" s="28">
        <f t="shared" si="7"/>
        <v>638854.22264134407</v>
      </c>
      <c r="T36" s="28">
        <f t="shared" si="7"/>
        <v>606911.51150927693</v>
      </c>
      <c r="U36" s="28">
        <f t="shared" si="7"/>
        <v>576565.93593381299</v>
      </c>
      <c r="V36" s="28">
        <f t="shared" si="7"/>
        <v>547737.63913712231</v>
      </c>
      <c r="W36" s="28">
        <f t="shared" si="7"/>
        <v>520350.75718026632</v>
      </c>
      <c r="X36" s="28">
        <f t="shared" si="7"/>
        <v>494333.21932125301</v>
      </c>
      <c r="Y36" s="28">
        <f t="shared" si="7"/>
        <v>469616.55835519027</v>
      </c>
      <c r="Z36" s="28">
        <f t="shared" si="7"/>
        <v>446135.73043743084</v>
      </c>
      <c r="AA36" s="28">
        <f t="shared" si="7"/>
        <v>423828.94391555921</v>
      </c>
      <c r="AB36" s="28">
        <f t="shared" si="7"/>
        <v>402637.49671978125</v>
      </c>
      <c r="AC36" s="28">
        <f t="shared" si="7"/>
        <v>382505.62188379216</v>
      </c>
      <c r="AD36" s="28">
        <f t="shared" si="7"/>
        <v>363380.34078960266</v>
      </c>
    </row>
    <row r="37" spans="1:30" x14ac:dyDescent="0.2">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row>
    <row r="38" spans="1:30" s="10" customFormat="1" x14ac:dyDescent="0.2">
      <c r="A38" s="10" t="s">
        <v>91</v>
      </c>
      <c r="C38" s="11"/>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row>
    <row r="39" spans="1:30" x14ac:dyDescent="0.2">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1:30" x14ac:dyDescent="0.2">
      <c r="A40" s="31" t="str">
        <f>IF(Inputs!A35&lt;&gt;"",Inputs!A35,"")</f>
        <v>Development</v>
      </c>
      <c r="B40" s="12" t="s">
        <v>6</v>
      </c>
      <c r="C40" s="41" t="s">
        <v>92</v>
      </c>
      <c r="D40" s="28">
        <f>D7+D18-D29</f>
        <v>1000000</v>
      </c>
      <c r="E40" s="28">
        <f t="shared" ref="E40:AD46" si="8">E7+E18-E29</f>
        <v>950000</v>
      </c>
      <c r="F40" s="28">
        <f t="shared" si="8"/>
        <v>902500</v>
      </c>
      <c r="G40" s="28">
        <f t="shared" si="8"/>
        <v>857375</v>
      </c>
      <c r="H40" s="28">
        <f t="shared" si="8"/>
        <v>814506.25</v>
      </c>
      <c r="I40" s="28">
        <f t="shared" si="8"/>
        <v>773780.9375</v>
      </c>
      <c r="J40" s="28">
        <f t="shared" si="8"/>
        <v>735091.890625</v>
      </c>
      <c r="K40" s="28">
        <f t="shared" si="8"/>
        <v>698337.29609375005</v>
      </c>
      <c r="L40" s="28">
        <f t="shared" si="8"/>
        <v>663420.4312890626</v>
      </c>
      <c r="M40" s="28">
        <f t="shared" si="8"/>
        <v>630249.40972460946</v>
      </c>
      <c r="N40" s="28">
        <f t="shared" si="8"/>
        <v>598736.93923837901</v>
      </c>
      <c r="O40" s="28">
        <f t="shared" si="8"/>
        <v>568800.09227646003</v>
      </c>
      <c r="P40" s="28">
        <f t="shared" si="8"/>
        <v>540360.087662637</v>
      </c>
      <c r="Q40" s="28">
        <f t="shared" si="8"/>
        <v>513342.08327950514</v>
      </c>
      <c r="R40" s="28">
        <f t="shared" si="8"/>
        <v>487674.97911552986</v>
      </c>
      <c r="S40" s="28">
        <f t="shared" si="8"/>
        <v>463291.23015975335</v>
      </c>
      <c r="T40" s="28">
        <f t="shared" si="8"/>
        <v>440126.66865176568</v>
      </c>
      <c r="U40" s="28">
        <f t="shared" si="8"/>
        <v>418120.33521917742</v>
      </c>
      <c r="V40" s="28">
        <f t="shared" si="8"/>
        <v>397214.31845821853</v>
      </c>
      <c r="W40" s="28">
        <f t="shared" si="8"/>
        <v>377353.60253530758</v>
      </c>
      <c r="X40" s="28">
        <f t="shared" si="8"/>
        <v>358485.92240854219</v>
      </c>
      <c r="Y40" s="28">
        <f t="shared" si="8"/>
        <v>340561.62628811511</v>
      </c>
      <c r="Z40" s="28">
        <f t="shared" si="8"/>
        <v>323533.54497370933</v>
      </c>
      <c r="AA40" s="28">
        <f t="shared" si="8"/>
        <v>307356.86772502388</v>
      </c>
      <c r="AB40" s="28">
        <f t="shared" si="8"/>
        <v>291989.0243387727</v>
      </c>
      <c r="AC40" s="28">
        <f t="shared" si="8"/>
        <v>277389.57312183408</v>
      </c>
      <c r="AD40" s="28">
        <f t="shared" si="8"/>
        <v>263520.09446574235</v>
      </c>
    </row>
    <row r="41" spans="1:30" x14ac:dyDescent="0.2">
      <c r="A41" s="31" t="str">
        <f>IF(Inputs!A36&lt;&gt;"",Inputs!A36,"")</f>
        <v>Generator</v>
      </c>
      <c r="B41" s="12" t="s">
        <v>6</v>
      </c>
      <c r="C41" s="41"/>
      <c r="D41" s="28">
        <f t="shared" ref="D41:S46" si="9">D8+D19-D30</f>
        <v>20000000</v>
      </c>
      <c r="E41" s="28">
        <f t="shared" si="9"/>
        <v>19000000</v>
      </c>
      <c r="F41" s="28">
        <f t="shared" si="9"/>
        <v>18050000</v>
      </c>
      <c r="G41" s="28">
        <f t="shared" si="9"/>
        <v>17147500</v>
      </c>
      <c r="H41" s="28">
        <f t="shared" si="9"/>
        <v>16290125</v>
      </c>
      <c r="I41" s="28">
        <f t="shared" si="9"/>
        <v>15475618.75</v>
      </c>
      <c r="J41" s="28">
        <f t="shared" si="9"/>
        <v>14701837.8125</v>
      </c>
      <c r="K41" s="28">
        <f t="shared" si="9"/>
        <v>13966745.921875</v>
      </c>
      <c r="L41" s="28">
        <f t="shared" si="9"/>
        <v>13268408.625781249</v>
      </c>
      <c r="M41" s="28">
        <f t="shared" si="9"/>
        <v>12604988.194492187</v>
      </c>
      <c r="N41" s="28">
        <f t="shared" si="9"/>
        <v>11974738.784767577</v>
      </c>
      <c r="O41" s="28">
        <f t="shared" si="9"/>
        <v>11376001.845529199</v>
      </c>
      <c r="P41" s="28">
        <f t="shared" si="9"/>
        <v>10807201.753252739</v>
      </c>
      <c r="Q41" s="28">
        <f t="shared" si="9"/>
        <v>10266841.665590102</v>
      </c>
      <c r="R41" s="28">
        <f t="shared" si="9"/>
        <v>9753499.5823105965</v>
      </c>
      <c r="S41" s="28">
        <f t="shared" si="9"/>
        <v>9265824.6031950675</v>
      </c>
      <c r="T41" s="28">
        <f t="shared" si="8"/>
        <v>8802533.3730353136</v>
      </c>
      <c r="U41" s="28">
        <f t="shared" si="8"/>
        <v>8362406.7043835483</v>
      </c>
      <c r="V41" s="28">
        <f t="shared" si="8"/>
        <v>7944286.3691643709</v>
      </c>
      <c r="W41" s="28">
        <f t="shared" si="8"/>
        <v>7547072.0507061528</v>
      </c>
      <c r="X41" s="28">
        <f t="shared" si="8"/>
        <v>7169718.4481708454</v>
      </c>
      <c r="Y41" s="28">
        <f t="shared" si="8"/>
        <v>6811232.5257623028</v>
      </c>
      <c r="Z41" s="28">
        <f t="shared" si="8"/>
        <v>6470670.8994741878</v>
      </c>
      <c r="AA41" s="28">
        <f t="shared" si="8"/>
        <v>6147137.3545004781</v>
      </c>
      <c r="AB41" s="28">
        <f t="shared" si="8"/>
        <v>5839780.4867754541</v>
      </c>
      <c r="AC41" s="28">
        <f t="shared" si="8"/>
        <v>5547791.4624366816</v>
      </c>
      <c r="AD41" s="28">
        <f t="shared" si="8"/>
        <v>5270401.8893148471</v>
      </c>
    </row>
    <row r="42" spans="1:30" x14ac:dyDescent="0.2">
      <c r="A42" s="31" t="str">
        <f>IF(Inputs!A37&lt;&gt;"",Inputs!A37,"")</f>
        <v>Network</v>
      </c>
      <c r="B42" s="12" t="s">
        <v>6</v>
      </c>
      <c r="C42" s="41"/>
      <c r="D42" s="28">
        <f t="shared" si="9"/>
        <v>4000000</v>
      </c>
      <c r="E42" s="28">
        <f t="shared" si="8"/>
        <v>3800000</v>
      </c>
      <c r="F42" s="28">
        <f t="shared" si="8"/>
        <v>3610000</v>
      </c>
      <c r="G42" s="28">
        <f t="shared" si="8"/>
        <v>3429500</v>
      </c>
      <c r="H42" s="28">
        <f t="shared" si="8"/>
        <v>3258025</v>
      </c>
      <c r="I42" s="28">
        <f t="shared" si="8"/>
        <v>3095123.75</v>
      </c>
      <c r="J42" s="28">
        <f t="shared" si="8"/>
        <v>2940367.5625</v>
      </c>
      <c r="K42" s="28">
        <f t="shared" si="8"/>
        <v>2793349.1843750002</v>
      </c>
      <c r="L42" s="28">
        <f t="shared" si="8"/>
        <v>2653681.7251562504</v>
      </c>
      <c r="M42" s="28">
        <f t="shared" si="8"/>
        <v>2520997.6388984378</v>
      </c>
      <c r="N42" s="28">
        <f t="shared" si="8"/>
        <v>2394947.756953516</v>
      </c>
      <c r="O42" s="28">
        <f t="shared" si="8"/>
        <v>2275200.3691058401</v>
      </c>
      <c r="P42" s="28">
        <f t="shared" si="8"/>
        <v>2161440.350650548</v>
      </c>
      <c r="Q42" s="28">
        <f t="shared" si="8"/>
        <v>2053368.3331180206</v>
      </c>
      <c r="R42" s="28">
        <f t="shared" si="8"/>
        <v>1950699.9164621194</v>
      </c>
      <c r="S42" s="28">
        <f t="shared" si="8"/>
        <v>1853164.9206390134</v>
      </c>
      <c r="T42" s="28">
        <f t="shared" si="8"/>
        <v>1760506.6746070627</v>
      </c>
      <c r="U42" s="28">
        <f t="shared" si="8"/>
        <v>1672481.3408767097</v>
      </c>
      <c r="V42" s="28">
        <f t="shared" si="8"/>
        <v>1588857.2738328741</v>
      </c>
      <c r="W42" s="28">
        <f t="shared" si="8"/>
        <v>1509414.4101412303</v>
      </c>
      <c r="X42" s="28">
        <f t="shared" si="8"/>
        <v>1433943.6896341688</v>
      </c>
      <c r="Y42" s="28">
        <f t="shared" si="8"/>
        <v>1362246.5051524604</v>
      </c>
      <c r="Z42" s="28">
        <f t="shared" si="8"/>
        <v>1294134.1798948373</v>
      </c>
      <c r="AA42" s="28">
        <f t="shared" si="8"/>
        <v>1229427.4709000955</v>
      </c>
      <c r="AB42" s="28">
        <f t="shared" si="8"/>
        <v>1167956.0973550908</v>
      </c>
      <c r="AC42" s="28">
        <f t="shared" si="8"/>
        <v>1109558.2924873363</v>
      </c>
      <c r="AD42" s="28">
        <f t="shared" si="8"/>
        <v>1054080.3778629694</v>
      </c>
    </row>
    <row r="43" spans="1:30" x14ac:dyDescent="0.2">
      <c r="A43" s="31" t="str">
        <f>IF(Inputs!A38&lt;&gt;"",Inputs!A38,"")</f>
        <v>Land</v>
      </c>
      <c r="B43" s="12" t="s">
        <v>6</v>
      </c>
      <c r="C43" s="41"/>
      <c r="D43" s="28">
        <f t="shared" si="9"/>
        <v>1000000</v>
      </c>
      <c r="E43" s="28">
        <f t="shared" si="8"/>
        <v>950000</v>
      </c>
      <c r="F43" s="28">
        <f t="shared" si="8"/>
        <v>902500</v>
      </c>
      <c r="G43" s="28">
        <f t="shared" si="8"/>
        <v>857375</v>
      </c>
      <c r="H43" s="28">
        <f t="shared" si="8"/>
        <v>814506.25</v>
      </c>
      <c r="I43" s="28">
        <f t="shared" si="8"/>
        <v>773780.9375</v>
      </c>
      <c r="J43" s="28">
        <f t="shared" si="8"/>
        <v>735091.890625</v>
      </c>
      <c r="K43" s="28">
        <f t="shared" si="8"/>
        <v>698337.29609375005</v>
      </c>
      <c r="L43" s="28">
        <f t="shared" si="8"/>
        <v>663420.4312890626</v>
      </c>
      <c r="M43" s="28">
        <f t="shared" si="8"/>
        <v>630249.40972460946</v>
      </c>
      <c r="N43" s="28">
        <f t="shared" si="8"/>
        <v>598736.93923837901</v>
      </c>
      <c r="O43" s="28">
        <f t="shared" si="8"/>
        <v>568800.09227646003</v>
      </c>
      <c r="P43" s="28">
        <f t="shared" si="8"/>
        <v>540360.087662637</v>
      </c>
      <c r="Q43" s="28">
        <f t="shared" si="8"/>
        <v>513342.08327950514</v>
      </c>
      <c r="R43" s="28">
        <f t="shared" si="8"/>
        <v>487674.97911552986</v>
      </c>
      <c r="S43" s="28">
        <f t="shared" si="8"/>
        <v>463291.23015975335</v>
      </c>
      <c r="T43" s="28">
        <f t="shared" si="8"/>
        <v>440126.66865176568</v>
      </c>
      <c r="U43" s="28">
        <f t="shared" si="8"/>
        <v>418120.33521917742</v>
      </c>
      <c r="V43" s="28">
        <f t="shared" si="8"/>
        <v>397214.31845821853</v>
      </c>
      <c r="W43" s="28">
        <f t="shared" si="8"/>
        <v>377353.60253530758</v>
      </c>
      <c r="X43" s="28">
        <f t="shared" si="8"/>
        <v>358485.92240854219</v>
      </c>
      <c r="Y43" s="28">
        <f t="shared" si="8"/>
        <v>340561.62628811511</v>
      </c>
      <c r="Z43" s="28">
        <f t="shared" si="8"/>
        <v>323533.54497370933</v>
      </c>
      <c r="AA43" s="28">
        <f t="shared" si="8"/>
        <v>307356.86772502388</v>
      </c>
      <c r="AB43" s="28">
        <f t="shared" si="8"/>
        <v>291989.0243387727</v>
      </c>
      <c r="AC43" s="28">
        <f t="shared" si="8"/>
        <v>277389.57312183408</v>
      </c>
      <c r="AD43" s="28">
        <f t="shared" si="8"/>
        <v>263520.09446574235</v>
      </c>
    </row>
    <row r="44" spans="1:30" x14ac:dyDescent="0.2">
      <c r="A44" s="31" t="str">
        <f>IF(Inputs!A39&lt;&gt;"",Inputs!A39,"")</f>
        <v>Meters</v>
      </c>
      <c r="B44" s="12" t="s">
        <v>6</v>
      </c>
      <c r="C44" s="41"/>
      <c r="D44" s="28">
        <f t="shared" si="9"/>
        <v>200000</v>
      </c>
      <c r="E44" s="28">
        <f t="shared" si="8"/>
        <v>190000</v>
      </c>
      <c r="F44" s="28">
        <f t="shared" si="8"/>
        <v>180500</v>
      </c>
      <c r="G44" s="28">
        <f t="shared" si="8"/>
        <v>171475</v>
      </c>
      <c r="H44" s="28">
        <f t="shared" si="8"/>
        <v>162901.25</v>
      </c>
      <c r="I44" s="28">
        <f t="shared" si="8"/>
        <v>154756.1875</v>
      </c>
      <c r="J44" s="28">
        <f t="shared" si="8"/>
        <v>147018.37812499999</v>
      </c>
      <c r="K44" s="28">
        <f t="shared" si="8"/>
        <v>139667.45921874998</v>
      </c>
      <c r="L44" s="28">
        <f t="shared" si="8"/>
        <v>132684.08625781248</v>
      </c>
      <c r="M44" s="28">
        <f t="shared" si="8"/>
        <v>126049.88194492186</v>
      </c>
      <c r="N44" s="28">
        <f t="shared" si="8"/>
        <v>119747.38784767577</v>
      </c>
      <c r="O44" s="28">
        <f t="shared" si="8"/>
        <v>113760.01845529198</v>
      </c>
      <c r="P44" s="28">
        <f t="shared" si="8"/>
        <v>108072.01753252739</v>
      </c>
      <c r="Q44" s="28">
        <f t="shared" si="8"/>
        <v>102668.41665590102</v>
      </c>
      <c r="R44" s="28">
        <f t="shared" si="8"/>
        <v>97534.995823105972</v>
      </c>
      <c r="S44" s="28">
        <f t="shared" si="8"/>
        <v>92658.246031950679</v>
      </c>
      <c r="T44" s="28">
        <f t="shared" si="8"/>
        <v>88025.333730353144</v>
      </c>
      <c r="U44" s="28">
        <f t="shared" si="8"/>
        <v>83624.067043835486</v>
      </c>
      <c r="V44" s="28">
        <f t="shared" si="8"/>
        <v>79442.86369164371</v>
      </c>
      <c r="W44" s="28">
        <f t="shared" si="8"/>
        <v>75470.720507061531</v>
      </c>
      <c r="X44" s="28">
        <f t="shared" si="8"/>
        <v>71697.184481708449</v>
      </c>
      <c r="Y44" s="28">
        <f t="shared" si="8"/>
        <v>68112.32525762303</v>
      </c>
      <c r="Z44" s="28">
        <f t="shared" si="8"/>
        <v>64706.708994741879</v>
      </c>
      <c r="AA44" s="28">
        <f t="shared" si="8"/>
        <v>61471.373545004782</v>
      </c>
      <c r="AB44" s="28">
        <f t="shared" si="8"/>
        <v>58397.804867754545</v>
      </c>
      <c r="AC44" s="28">
        <f t="shared" si="8"/>
        <v>55477.914624366815</v>
      </c>
      <c r="AD44" s="28">
        <f t="shared" si="8"/>
        <v>52704.018893148474</v>
      </c>
    </row>
    <row r="45" spans="1:30" x14ac:dyDescent="0.2">
      <c r="A45" s="31" t="str">
        <f>IF(Inputs!A40&lt;&gt;"",Inputs!A40,"")</f>
        <v/>
      </c>
      <c r="B45" s="12" t="s">
        <v>6</v>
      </c>
      <c r="C45" s="41"/>
      <c r="D45" s="28">
        <f t="shared" si="9"/>
        <v>0</v>
      </c>
      <c r="E45" s="28">
        <f t="shared" si="8"/>
        <v>0</v>
      </c>
      <c r="F45" s="28">
        <f t="shared" si="8"/>
        <v>0</v>
      </c>
      <c r="G45" s="28">
        <f t="shared" si="8"/>
        <v>0</v>
      </c>
      <c r="H45" s="28">
        <f t="shared" si="8"/>
        <v>0</v>
      </c>
      <c r="I45" s="28">
        <f t="shared" si="8"/>
        <v>0</v>
      </c>
      <c r="J45" s="28">
        <f t="shared" si="8"/>
        <v>0</v>
      </c>
      <c r="K45" s="28">
        <f t="shared" si="8"/>
        <v>0</v>
      </c>
      <c r="L45" s="28">
        <f t="shared" si="8"/>
        <v>0</v>
      </c>
      <c r="M45" s="28">
        <f t="shared" si="8"/>
        <v>0</v>
      </c>
      <c r="N45" s="28">
        <f t="shared" si="8"/>
        <v>0</v>
      </c>
      <c r="O45" s="28">
        <f t="shared" si="8"/>
        <v>0</v>
      </c>
      <c r="P45" s="28">
        <f t="shared" si="8"/>
        <v>0</v>
      </c>
      <c r="Q45" s="28">
        <f t="shared" si="8"/>
        <v>0</v>
      </c>
      <c r="R45" s="28">
        <f t="shared" si="8"/>
        <v>0</v>
      </c>
      <c r="S45" s="28">
        <f t="shared" si="8"/>
        <v>0</v>
      </c>
      <c r="T45" s="28">
        <f t="shared" si="8"/>
        <v>0</v>
      </c>
      <c r="U45" s="28">
        <f t="shared" si="8"/>
        <v>0</v>
      </c>
      <c r="V45" s="28">
        <f t="shared" si="8"/>
        <v>0</v>
      </c>
      <c r="W45" s="28">
        <f t="shared" si="8"/>
        <v>0</v>
      </c>
      <c r="X45" s="28">
        <f t="shared" si="8"/>
        <v>0</v>
      </c>
      <c r="Y45" s="28">
        <f t="shared" si="8"/>
        <v>0</v>
      </c>
      <c r="Z45" s="28">
        <f t="shared" si="8"/>
        <v>0</v>
      </c>
      <c r="AA45" s="28">
        <f t="shared" si="8"/>
        <v>0</v>
      </c>
      <c r="AB45" s="28">
        <f t="shared" si="8"/>
        <v>0</v>
      </c>
      <c r="AC45" s="28">
        <f t="shared" si="8"/>
        <v>0</v>
      </c>
      <c r="AD45" s="28">
        <f t="shared" si="8"/>
        <v>0</v>
      </c>
    </row>
    <row r="46" spans="1:30" x14ac:dyDescent="0.2">
      <c r="A46" s="31" t="str">
        <f>IF(Inputs!A41&lt;&gt;"",Inputs!A41,"")</f>
        <v/>
      </c>
      <c r="B46" s="12" t="s">
        <v>6</v>
      </c>
      <c r="C46" s="41"/>
      <c r="D46" s="28">
        <f t="shared" si="9"/>
        <v>0</v>
      </c>
      <c r="E46" s="28">
        <f t="shared" si="8"/>
        <v>0</v>
      </c>
      <c r="F46" s="28">
        <f t="shared" si="8"/>
        <v>0</v>
      </c>
      <c r="G46" s="28">
        <f t="shared" si="8"/>
        <v>0</v>
      </c>
      <c r="H46" s="28">
        <f t="shared" si="8"/>
        <v>0</v>
      </c>
      <c r="I46" s="28">
        <f t="shared" si="8"/>
        <v>0</v>
      </c>
      <c r="J46" s="28">
        <f t="shared" si="8"/>
        <v>0</v>
      </c>
      <c r="K46" s="28">
        <f t="shared" si="8"/>
        <v>0</v>
      </c>
      <c r="L46" s="28">
        <f t="shared" si="8"/>
        <v>0</v>
      </c>
      <c r="M46" s="28">
        <f t="shared" si="8"/>
        <v>0</v>
      </c>
      <c r="N46" s="28">
        <f t="shared" si="8"/>
        <v>0</v>
      </c>
      <c r="O46" s="28">
        <f t="shared" si="8"/>
        <v>0</v>
      </c>
      <c r="P46" s="28">
        <f t="shared" si="8"/>
        <v>0</v>
      </c>
      <c r="Q46" s="28">
        <f t="shared" si="8"/>
        <v>0</v>
      </c>
      <c r="R46" s="28">
        <f t="shared" si="8"/>
        <v>0</v>
      </c>
      <c r="S46" s="28">
        <f t="shared" si="8"/>
        <v>0</v>
      </c>
      <c r="T46" s="28">
        <f t="shared" si="8"/>
        <v>0</v>
      </c>
      <c r="U46" s="28">
        <f t="shared" si="8"/>
        <v>0</v>
      </c>
      <c r="V46" s="28">
        <f t="shared" si="8"/>
        <v>0</v>
      </c>
      <c r="W46" s="28">
        <f t="shared" si="8"/>
        <v>0</v>
      </c>
      <c r="X46" s="28">
        <f t="shared" si="8"/>
        <v>0</v>
      </c>
      <c r="Y46" s="28">
        <f t="shared" si="8"/>
        <v>0</v>
      </c>
      <c r="Z46" s="28">
        <f t="shared" si="8"/>
        <v>0</v>
      </c>
      <c r="AA46" s="28">
        <f t="shared" si="8"/>
        <v>0</v>
      </c>
      <c r="AB46" s="28">
        <f t="shared" si="8"/>
        <v>0</v>
      </c>
      <c r="AC46" s="28">
        <f t="shared" si="8"/>
        <v>0</v>
      </c>
      <c r="AD46" s="28">
        <f t="shared" si="8"/>
        <v>0</v>
      </c>
    </row>
    <row r="47" spans="1:30" x14ac:dyDescent="0.2">
      <c r="A47" s="31" t="s">
        <v>32</v>
      </c>
      <c r="B47" s="12" t="s">
        <v>6</v>
      </c>
      <c r="C47" s="41"/>
      <c r="D47" s="28">
        <f>SUM(D40:D46)</f>
        <v>26200000</v>
      </c>
      <c r="E47" s="28">
        <f t="shared" ref="E47:AD47" si="10">SUM(E40:E46)</f>
        <v>24890000</v>
      </c>
      <c r="F47" s="28">
        <f t="shared" si="10"/>
        <v>23645500</v>
      </c>
      <c r="G47" s="28">
        <f t="shared" si="10"/>
        <v>22463225</v>
      </c>
      <c r="H47" s="28">
        <f t="shared" si="10"/>
        <v>21340063.75</v>
      </c>
      <c r="I47" s="28">
        <f t="shared" si="10"/>
        <v>20273060.5625</v>
      </c>
      <c r="J47" s="28">
        <f t="shared" si="10"/>
        <v>19259407.534375001</v>
      </c>
      <c r="K47" s="28">
        <f t="shared" si="10"/>
        <v>18296437.157656252</v>
      </c>
      <c r="L47" s="28">
        <f t="shared" si="10"/>
        <v>17381615.299773436</v>
      </c>
      <c r="M47" s="28">
        <f t="shared" si="10"/>
        <v>16512534.534784768</v>
      </c>
      <c r="N47" s="28">
        <f t="shared" si="10"/>
        <v>15686907.808045525</v>
      </c>
      <c r="O47" s="28">
        <f t="shared" si="10"/>
        <v>14902562.417643249</v>
      </c>
      <c r="P47" s="28">
        <f t="shared" si="10"/>
        <v>14157434.296761088</v>
      </c>
      <c r="Q47" s="28">
        <f t="shared" si="10"/>
        <v>13449562.581923034</v>
      </c>
      <c r="R47" s="28">
        <f t="shared" si="10"/>
        <v>12777084.45282688</v>
      </c>
      <c r="S47" s="28">
        <f t="shared" si="10"/>
        <v>12138230.23018554</v>
      </c>
      <c r="T47" s="28">
        <f t="shared" si="10"/>
        <v>11531318.71867626</v>
      </c>
      <c r="U47" s="28">
        <f t="shared" si="10"/>
        <v>10954752.78274245</v>
      </c>
      <c r="V47" s="28">
        <f t="shared" si="10"/>
        <v>10407015.143605324</v>
      </c>
      <c r="W47" s="28">
        <f t="shared" si="10"/>
        <v>9886664.3864250593</v>
      </c>
      <c r="X47" s="28">
        <f t="shared" si="10"/>
        <v>9392331.1671038065</v>
      </c>
      <c r="Y47" s="28">
        <f t="shared" si="10"/>
        <v>8922714.6087486185</v>
      </c>
      <c r="Z47" s="28">
        <f t="shared" si="10"/>
        <v>8476578.878311187</v>
      </c>
      <c r="AA47" s="28">
        <f t="shared" si="10"/>
        <v>8052749.9343956271</v>
      </c>
      <c r="AB47" s="28">
        <f t="shared" si="10"/>
        <v>7650112.4376758449</v>
      </c>
      <c r="AC47" s="28">
        <f t="shared" si="10"/>
        <v>7267606.8157920539</v>
      </c>
      <c r="AD47" s="28">
        <f t="shared" si="10"/>
        <v>6904226.475002449</v>
      </c>
    </row>
    <row r="48" spans="1:30" x14ac:dyDescent="0.2">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row>
    <row r="49" spans="1:30" s="10" customFormat="1" x14ac:dyDescent="0.2">
      <c r="A49" s="10" t="s">
        <v>93</v>
      </c>
      <c r="C49" s="11"/>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row>
    <row r="50" spans="1:30" x14ac:dyDescent="0.2">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row>
    <row r="51" spans="1:30" x14ac:dyDescent="0.2">
      <c r="A51" s="12" t="s">
        <v>94</v>
      </c>
      <c r="B51" s="12" t="s">
        <v>6</v>
      </c>
      <c r="C51" s="19" t="s">
        <v>95</v>
      </c>
      <c r="D51" s="28">
        <f>IF(D3&gt;=Inputs!$D$8,AVERAGE(D14,D47)*Inputs!$D$79,0)</f>
        <v>0</v>
      </c>
      <c r="E51" s="28">
        <f>IF(E3&gt;=Inputs!$D$8,AVERAGE(E14,E47)*Inputs!$D$79,0)</f>
        <v>3525210.0000000005</v>
      </c>
      <c r="F51" s="28">
        <f>IF(F3&gt;=Inputs!$D$8,AVERAGE(F14,F47)*Inputs!$D$79,0)</f>
        <v>3348949.5000000005</v>
      </c>
      <c r="G51" s="28">
        <f>IF(G3&gt;=Inputs!$D$8,AVERAGE(G14,G47)*Inputs!$D$79,0)</f>
        <v>3181502.0250000004</v>
      </c>
      <c r="H51" s="28">
        <f>IF(H3&gt;=Inputs!$D$8,AVERAGE(H14,H47)*Inputs!$D$79,0)</f>
        <v>3022426.9237500001</v>
      </c>
      <c r="I51" s="28">
        <f>IF(I3&gt;=Inputs!$D$8,AVERAGE(I14,I47)*Inputs!$D$79,0)</f>
        <v>2871305.5775625003</v>
      </c>
      <c r="J51" s="28">
        <f>IF(J3&gt;=Inputs!$D$8,AVERAGE(J14,J47)*Inputs!$D$79,0)</f>
        <v>2727740.2986843749</v>
      </c>
      <c r="K51" s="28">
        <f>IF(K3&gt;=Inputs!$D$8,AVERAGE(K14,K47)*Inputs!$D$79,0)</f>
        <v>2591353.2837501564</v>
      </c>
      <c r="L51" s="28">
        <f>IF(L3&gt;=Inputs!$D$8,AVERAGE(L14,L47)*Inputs!$D$79,0)</f>
        <v>2461785.6195626492</v>
      </c>
      <c r="M51" s="28">
        <f>IF(M3&gt;=Inputs!$D$8,AVERAGE(M14,M47)*Inputs!$D$79,0)</f>
        <v>2338696.3385845162</v>
      </c>
      <c r="N51" s="28">
        <f>IF(N3&gt;=Inputs!$D$8,AVERAGE(N14,N47)*Inputs!$D$79,0)</f>
        <v>2221761.5216552904</v>
      </c>
      <c r="O51" s="28">
        <f>IF(O3&gt;=Inputs!$D$8,AVERAGE(O14,O47)*Inputs!$D$79,0)</f>
        <v>2110673.4455725257</v>
      </c>
      <c r="P51" s="28">
        <f>IF(P3&gt;=Inputs!$D$8,AVERAGE(P14,P47)*Inputs!$D$79,0)</f>
        <v>2005139.7732938994</v>
      </c>
      <c r="Q51" s="28">
        <f>IF(Q3&gt;=Inputs!$D$8,AVERAGE(Q14,Q47)*Inputs!$D$79,0)</f>
        <v>1904882.7846292045</v>
      </c>
      <c r="R51" s="28">
        <f>IF(R3&gt;=Inputs!$D$8,AVERAGE(R14,R47)*Inputs!$D$79,0)</f>
        <v>1809638.6453977441</v>
      </c>
      <c r="S51" s="28">
        <f>IF(S3&gt;=Inputs!$D$8,AVERAGE(S14,S47)*Inputs!$D$79,0)</f>
        <v>1719156.7131278571</v>
      </c>
      <c r="T51" s="28">
        <f>IF(T3&gt;=Inputs!$D$8,AVERAGE(T14,T47)*Inputs!$D$79,0)</f>
        <v>1633198.8774714645</v>
      </c>
      <c r="U51" s="28">
        <f>IF(U3&gt;=Inputs!$D$8,AVERAGE(U14,U47)*Inputs!$D$79,0)</f>
        <v>1551538.9335978911</v>
      </c>
      <c r="V51" s="28">
        <f>IF(V3&gt;=Inputs!$D$8,AVERAGE(V14,V47)*Inputs!$D$79,0)</f>
        <v>1473961.9869179965</v>
      </c>
      <c r="W51" s="28">
        <f>IF(W3&gt;=Inputs!$D$8,AVERAGE(W14,W47)*Inputs!$D$79,0)</f>
        <v>1400263.8875720967</v>
      </c>
      <c r="X51" s="28">
        <f>IF(X3&gt;=Inputs!$D$8,AVERAGE(X14,X47)*Inputs!$D$79,0)</f>
        <v>1330250.693193492</v>
      </c>
      <c r="Y51" s="28">
        <f>IF(Y3&gt;=Inputs!$D$8,AVERAGE(Y14,Y47)*Inputs!$D$79,0)</f>
        <v>1263738.1585338176</v>
      </c>
      <c r="Z51" s="28">
        <f>IF(Z3&gt;=Inputs!$D$8,AVERAGE(Z14,Z47)*Inputs!$D$79,0)</f>
        <v>1200551.2506071266</v>
      </c>
      <c r="AA51" s="28">
        <f>IF(AA3&gt;=Inputs!$D$8,AVERAGE(AA14,AA47)*Inputs!$D$79,0)</f>
        <v>1140523.6880767702</v>
      </c>
      <c r="AB51" s="28">
        <f>IF(AB3&gt;=Inputs!$D$8,AVERAGE(AB14,AB47)*Inputs!$D$79,0)</f>
        <v>1083497.5036729316</v>
      </c>
      <c r="AC51" s="28">
        <f>IF(AC3&gt;=Inputs!$D$8,AVERAGE(AC14,AC47)*Inputs!$D$79,0)</f>
        <v>1029322.6284892851</v>
      </c>
      <c r="AD51" s="28">
        <f>IF(AD3&gt;=Inputs!$D$8,AVERAGE(AD14,AD47)*Inputs!$D$79,0)</f>
        <v>977856.49706482084</v>
      </c>
    </row>
    <row r="52" spans="1:30" x14ac:dyDescent="0.2">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row>
    <row r="53" spans="1:30" x14ac:dyDescent="0.2">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row>
    <row r="54" spans="1:30" x14ac:dyDescent="0.2">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row>
    <row r="55" spans="1:30" x14ac:dyDescent="0.2">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row>
    <row r="56" spans="1:30" x14ac:dyDescent="0.2">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row>
    <row r="57" spans="1:30" x14ac:dyDescent="0.2">
      <c r="D57" s="16">
        <f>Inputs!$D$7</f>
        <v>2014</v>
      </c>
      <c r="E57" s="16">
        <f t="shared" ref="E57:J57" si="11">D57+1</f>
        <v>2015</v>
      </c>
      <c r="F57" s="16">
        <f t="shared" si="11"/>
        <v>2016</v>
      </c>
      <c r="G57" s="16">
        <f t="shared" si="11"/>
        <v>2017</v>
      </c>
      <c r="H57" s="16">
        <f t="shared" si="11"/>
        <v>2018</v>
      </c>
      <c r="I57" s="16">
        <f t="shared" si="11"/>
        <v>2019</v>
      </c>
      <c r="J57" s="16">
        <f t="shared" si="11"/>
        <v>2020</v>
      </c>
      <c r="K57" s="28"/>
      <c r="L57" s="28"/>
      <c r="M57" s="28"/>
      <c r="N57" s="28"/>
      <c r="O57" s="28"/>
      <c r="P57" s="28"/>
      <c r="Q57" s="28"/>
      <c r="R57" s="28"/>
      <c r="S57" s="28"/>
      <c r="T57" s="28"/>
      <c r="U57" s="28"/>
      <c r="V57" s="28"/>
      <c r="W57" s="28"/>
      <c r="X57" s="28"/>
      <c r="Y57" s="28"/>
      <c r="Z57" s="28"/>
      <c r="AA57" s="28"/>
      <c r="AB57" s="28"/>
      <c r="AC57" s="28"/>
      <c r="AD57" s="28"/>
    </row>
    <row r="58" spans="1:30" x14ac:dyDescent="0.2">
      <c r="A58" s="28" t="s">
        <v>96</v>
      </c>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row>
    <row r="59" spans="1:30" x14ac:dyDescent="0.2">
      <c r="A59" s="28" t="s">
        <v>97</v>
      </c>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0" x14ac:dyDescent="0.2">
      <c r="A60" s="28" t="s">
        <v>98</v>
      </c>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spans="1:30" x14ac:dyDescent="0.2">
      <c r="A61" s="28" t="s">
        <v>99</v>
      </c>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row>
    <row r="62" spans="1:30" x14ac:dyDescent="0.2">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spans="1:30" x14ac:dyDescent="0.2">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row>
    <row r="64" spans="1:30" x14ac:dyDescent="0.2">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row>
    <row r="65" spans="4:30" x14ac:dyDescent="0.2">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row>
    <row r="66" spans="4:30" x14ac:dyDescent="0.2">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4:30" x14ac:dyDescent="0.2">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row>
    <row r="68" spans="4:30" x14ac:dyDescent="0.2">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spans="4:30" x14ac:dyDescent="0.2">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row>
    <row r="70" spans="4:30" x14ac:dyDescent="0.2">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row>
    <row r="71" spans="4:30" x14ac:dyDescent="0.2">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row>
    <row r="72" spans="4:30" x14ac:dyDescent="0.2">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row>
    <row r="73" spans="4:30" x14ac:dyDescent="0.2">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row>
    <row r="74" spans="4:30" x14ac:dyDescent="0.2">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row>
    <row r="75" spans="4:30" x14ac:dyDescent="0.2">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spans="4:30" x14ac:dyDescent="0.2">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4:30" x14ac:dyDescent="0.2">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row>
    <row r="78" spans="4:30" x14ac:dyDescent="0.2">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row>
    <row r="79" spans="4:30" x14ac:dyDescent="0.2">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spans="4:30" x14ac:dyDescent="0.2">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row>
    <row r="81" spans="4:30" x14ac:dyDescent="0.2">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row>
    <row r="82" spans="4:30" x14ac:dyDescent="0.2">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row>
    <row r="83" spans="4:30" x14ac:dyDescent="0.2">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row>
    <row r="84" spans="4:30" x14ac:dyDescent="0.2">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row>
    <row r="85" spans="4:30" x14ac:dyDescent="0.2">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row>
    <row r="86" spans="4:30" x14ac:dyDescent="0.2">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row>
  </sheetData>
  <mergeCells count="4">
    <mergeCell ref="C7:C14"/>
    <mergeCell ref="C18:C25"/>
    <mergeCell ref="C29:C36"/>
    <mergeCell ref="C40:C47"/>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88FA006-88A9-4B5A-9E33-6FC52AA9CA2A}">
            <xm:f>ISERROR('\Richard\Google Drive\Docs - Work\ECA\Projects worked on\Kenya RES 386\Docs\Richard Work in Progress\[FiT Model v2.xlsm]Inputs'!#REF!)=TRUE</xm:f>
            <x14:dxf>
              <font>
                <color theme="0" tint="-0.34998626667073579"/>
              </font>
            </x14:dxf>
          </x14:cfRule>
          <xm:sqref>D1:G1</xm:sqref>
        </x14:conditionalFormatting>
        <x14:conditionalFormatting xmlns:xm="http://schemas.microsoft.com/office/excel/2006/main">
          <x14:cfRule type="expression" priority="2" id="{CE03229C-623E-47BA-8EE3-B7ACB96F9B7B}">
            <xm:f>ISERROR('\Richard\Google Drive\Docs - Work\ECA\Projects worked on\Kenya RES 386\Docs\Richard Work in Progress\[FiT Model v2.xlsm]Inputs'!#REF!)=TRUE</xm:f>
            <x14:dxf>
              <font>
                <color theme="0" tint="-0.34998626667073579"/>
              </font>
            </x14:dxf>
          </x14:cfRule>
          <xm:sqref>H1:K1</xm:sqref>
        </x14:conditionalFormatting>
        <x14:conditionalFormatting xmlns:xm="http://schemas.microsoft.com/office/excel/2006/main">
          <x14:cfRule type="expression" priority="3" id="{51702FC8-191A-4C82-9EE0-1A69FFB6B31B}">
            <xm:f>ISERROR('\Richard\Google Drive\Docs - Work\ECA\Projects worked on\Kenya RES 386\Docs\Richard Work in Progress\[FiT Model v2.xlsm]Inputs'!#REF!)=TRUE</xm:f>
            <x14:dxf>
              <font>
                <color theme="0" tint="-0.34998626667073579"/>
              </font>
            </x14:dxf>
          </x14:cfRule>
          <xm:sqref>M1:U1</xm:sqref>
        </x14:conditionalFormatting>
        <x14:conditionalFormatting xmlns:xm="http://schemas.microsoft.com/office/excel/2006/main">
          <x14:cfRule type="expression" priority="4" id="{85EE51BF-A57D-49D4-9932-D397CCBA12F7}">
            <xm:f>ISERROR('\Richard\Google Drive\Docs - Work\ECA\Projects worked on\Kenya RES 386\Docs\Richard Work in Progress\[FiT Model v2.xlsm]Inputs'!#REF!)=TRUE</xm:f>
            <x14:dxf>
              <font>
                <color theme="0" tint="-0.34998626667073579"/>
              </font>
            </x14:dxf>
          </x14:cfRule>
          <xm:sqref>L1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workbookViewId="0">
      <pane xSplit="1" ySplit="3" topLeftCell="B4" activePane="bottomRight" state="frozen"/>
      <selection activeCell="B38" sqref="B38"/>
      <selection pane="topRight" activeCell="B38" sqref="B38"/>
      <selection pane="bottomLeft" activeCell="B38" sqref="B38"/>
      <selection pane="bottomRight" sqref="A1:XFD3"/>
    </sheetView>
  </sheetViews>
  <sheetFormatPr defaultRowHeight="12.75" x14ac:dyDescent="0.2"/>
  <cols>
    <col min="1" max="1" width="27.28515625" style="12" customWidth="1"/>
    <col min="2" max="2" width="10.42578125" style="12" customWidth="1"/>
    <col min="3" max="3" width="20.7109375" style="19" customWidth="1"/>
    <col min="4" max="4" width="12.28515625" style="12" hidden="1" customWidth="1"/>
    <col min="5" max="30" width="12.28515625" style="12" customWidth="1"/>
    <col min="31" max="33" width="12.5703125" style="12" customWidth="1"/>
    <col min="34" max="16384" width="9.140625" style="12"/>
  </cols>
  <sheetData>
    <row r="1" spans="1:33" s="1" customFormat="1" ht="15.75" x14ac:dyDescent="0.25">
      <c r="A1" s="23" t="str">
        <f>[1]TITLE!Title_Project</f>
        <v>Retail Tariff Tool</v>
      </c>
      <c r="B1" s="3"/>
      <c r="C1" s="22"/>
      <c r="D1" s="22"/>
    </row>
    <row r="2" spans="1:33" s="1" customFormat="1" ht="15" x14ac:dyDescent="0.25">
      <c r="A2" s="1" t="s">
        <v>5</v>
      </c>
      <c r="C2" s="22"/>
    </row>
    <row r="3" spans="1:33" s="2" customFormat="1" ht="15" x14ac:dyDescent="0.25">
      <c r="B3" s="2" t="s">
        <v>0</v>
      </c>
      <c r="C3" s="2" t="s">
        <v>1</v>
      </c>
      <c r="D3" s="2">
        <f>Inputs!$D$7</f>
        <v>2014</v>
      </c>
      <c r="E3" s="2">
        <f t="shared" ref="E3:AD3" si="0">D3+1</f>
        <v>2015</v>
      </c>
      <c r="F3" s="2">
        <f t="shared" si="0"/>
        <v>2016</v>
      </c>
      <c r="G3" s="2">
        <f t="shared" si="0"/>
        <v>2017</v>
      </c>
      <c r="H3" s="2">
        <f t="shared" si="0"/>
        <v>2018</v>
      </c>
      <c r="I3" s="2">
        <f t="shared" si="0"/>
        <v>2019</v>
      </c>
      <c r="J3" s="2">
        <f t="shared" si="0"/>
        <v>2020</v>
      </c>
      <c r="K3" s="2">
        <f t="shared" si="0"/>
        <v>2021</v>
      </c>
      <c r="L3" s="2">
        <f t="shared" si="0"/>
        <v>2022</v>
      </c>
      <c r="M3" s="2">
        <f t="shared" si="0"/>
        <v>2023</v>
      </c>
      <c r="N3" s="2">
        <f t="shared" si="0"/>
        <v>2024</v>
      </c>
      <c r="O3" s="2">
        <f t="shared" si="0"/>
        <v>2025</v>
      </c>
      <c r="P3" s="2">
        <f t="shared" si="0"/>
        <v>2026</v>
      </c>
      <c r="Q3" s="2">
        <f t="shared" si="0"/>
        <v>2027</v>
      </c>
      <c r="R3" s="2">
        <f t="shared" si="0"/>
        <v>2028</v>
      </c>
      <c r="S3" s="2">
        <f t="shared" si="0"/>
        <v>2029</v>
      </c>
      <c r="T3" s="2">
        <f t="shared" si="0"/>
        <v>2030</v>
      </c>
      <c r="U3" s="2">
        <f t="shared" si="0"/>
        <v>2031</v>
      </c>
      <c r="V3" s="2">
        <f t="shared" si="0"/>
        <v>2032</v>
      </c>
      <c r="W3" s="2">
        <f t="shared" si="0"/>
        <v>2033</v>
      </c>
      <c r="X3" s="2">
        <f t="shared" si="0"/>
        <v>2034</v>
      </c>
      <c r="Y3" s="2">
        <f t="shared" si="0"/>
        <v>2035</v>
      </c>
      <c r="Z3" s="2">
        <f t="shared" si="0"/>
        <v>2036</v>
      </c>
      <c r="AA3" s="2">
        <f t="shared" si="0"/>
        <v>2037</v>
      </c>
      <c r="AB3" s="2">
        <f t="shared" si="0"/>
        <v>2038</v>
      </c>
      <c r="AC3" s="2">
        <f t="shared" si="0"/>
        <v>2039</v>
      </c>
      <c r="AD3" s="2">
        <f t="shared" si="0"/>
        <v>2040</v>
      </c>
    </row>
    <row r="4" spans="1:33" s="24" customFormat="1" x14ac:dyDescent="0.25">
      <c r="C4" s="25"/>
    </row>
    <row r="5" spans="1:33" s="10" customFormat="1" x14ac:dyDescent="0.2">
      <c r="A5" s="10" t="s">
        <v>100</v>
      </c>
      <c r="C5" s="11"/>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x14ac:dyDescent="0.2">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row>
    <row r="7" spans="1:33" x14ac:dyDescent="0.2">
      <c r="A7" s="12" t="s">
        <v>33</v>
      </c>
      <c r="B7" s="12" t="s">
        <v>6</v>
      </c>
      <c r="C7" s="41" t="s">
        <v>101</v>
      </c>
      <c r="D7" s="28">
        <f>Inputs!D31</f>
        <v>0</v>
      </c>
      <c r="E7" s="28">
        <f>Inputs!E31</f>
        <v>5800000</v>
      </c>
      <c r="F7" s="28">
        <f>Inputs!F31</f>
        <v>5800000</v>
      </c>
      <c r="G7" s="28">
        <f>Inputs!G31</f>
        <v>5800000</v>
      </c>
      <c r="H7" s="28">
        <f>Inputs!H31</f>
        <v>5800000</v>
      </c>
      <c r="I7" s="28">
        <f>Inputs!I31</f>
        <v>5800000</v>
      </c>
      <c r="J7" s="28">
        <f>Inputs!J31</f>
        <v>5800000</v>
      </c>
      <c r="K7" s="28">
        <f>Inputs!K31</f>
        <v>5800000</v>
      </c>
      <c r="L7" s="28">
        <f>Inputs!L31</f>
        <v>5800000</v>
      </c>
      <c r="M7" s="28">
        <f>Inputs!M31</f>
        <v>5800000</v>
      </c>
      <c r="N7" s="28">
        <f>Inputs!N31</f>
        <v>5800000</v>
      </c>
      <c r="O7" s="28">
        <f>Inputs!O31</f>
        <v>5800000</v>
      </c>
      <c r="P7" s="28">
        <f>Inputs!P31</f>
        <v>5800000</v>
      </c>
      <c r="Q7" s="28">
        <f>Inputs!Q31</f>
        <v>5800000</v>
      </c>
      <c r="R7" s="28">
        <f>Inputs!R31</f>
        <v>5800000</v>
      </c>
      <c r="S7" s="28">
        <f>Inputs!S31</f>
        <v>5800000</v>
      </c>
      <c r="T7" s="28">
        <f>Inputs!T31</f>
        <v>5800000</v>
      </c>
      <c r="U7" s="28">
        <f>Inputs!U31</f>
        <v>5800000</v>
      </c>
      <c r="V7" s="28">
        <f>Inputs!V31</f>
        <v>5800000</v>
      </c>
      <c r="W7" s="28">
        <f>Inputs!W31</f>
        <v>5800000</v>
      </c>
      <c r="X7" s="28">
        <f>Inputs!X31</f>
        <v>5800000</v>
      </c>
      <c r="Y7" s="28">
        <f>Inputs!Y31</f>
        <v>5800000</v>
      </c>
      <c r="Z7" s="28">
        <f>Inputs!Z31</f>
        <v>5800000</v>
      </c>
      <c r="AA7" s="28">
        <f>Inputs!AA31</f>
        <v>5800000</v>
      </c>
      <c r="AB7" s="28">
        <f>Inputs!AB31</f>
        <v>5800000</v>
      </c>
      <c r="AC7" s="28">
        <f>Inputs!AC31</f>
        <v>5800000</v>
      </c>
      <c r="AD7" s="28">
        <f>Inputs!AD31</f>
        <v>5800000</v>
      </c>
      <c r="AE7" s="28"/>
      <c r="AF7" s="28"/>
      <c r="AG7" s="28"/>
    </row>
    <row r="8" spans="1:33" x14ac:dyDescent="0.2">
      <c r="A8" s="12" t="s">
        <v>11</v>
      </c>
      <c r="B8" s="12" t="s">
        <v>6</v>
      </c>
      <c r="C8" s="41"/>
      <c r="D8" s="28">
        <f>Calculations!D36</f>
        <v>0</v>
      </c>
      <c r="E8" s="28">
        <f>Calculations!E36</f>
        <v>1310000</v>
      </c>
      <c r="F8" s="28">
        <f>Calculations!F36</f>
        <v>1244500</v>
      </c>
      <c r="G8" s="28">
        <f>Calculations!G36</f>
        <v>1182275</v>
      </c>
      <c r="H8" s="28">
        <f>Calculations!H36</f>
        <v>1123161.25</v>
      </c>
      <c r="I8" s="28">
        <f>Calculations!I36</f>
        <v>1067003.1875</v>
      </c>
      <c r="J8" s="28">
        <f>Calculations!J36</f>
        <v>1013653.028125</v>
      </c>
      <c r="K8" s="28">
        <f>Calculations!K36</f>
        <v>962970.37671874999</v>
      </c>
      <c r="L8" s="28">
        <f>Calculations!L36</f>
        <v>914821.85788281239</v>
      </c>
      <c r="M8" s="28">
        <f>Calculations!M36</f>
        <v>869080.76498867187</v>
      </c>
      <c r="N8" s="28">
        <f>Calculations!N36</f>
        <v>825626.72673923825</v>
      </c>
      <c r="O8" s="28">
        <f>Calculations!O36</f>
        <v>784345.39040227653</v>
      </c>
      <c r="P8" s="28">
        <f>Calculations!P36</f>
        <v>745128.12088216259</v>
      </c>
      <c r="Q8" s="28">
        <f>Calculations!Q36</f>
        <v>707871.7148380545</v>
      </c>
      <c r="R8" s="28">
        <f>Calculations!R36</f>
        <v>672478.12909615168</v>
      </c>
      <c r="S8" s="28">
        <f>Calculations!S36</f>
        <v>638854.22264134407</v>
      </c>
      <c r="T8" s="28">
        <f>Calculations!T36</f>
        <v>606911.51150927693</v>
      </c>
      <c r="U8" s="28">
        <f>Calculations!U36</f>
        <v>576565.93593381299</v>
      </c>
      <c r="V8" s="28">
        <f>Calculations!V36</f>
        <v>547737.63913712231</v>
      </c>
      <c r="W8" s="28">
        <f>Calculations!W36</f>
        <v>520350.75718026632</v>
      </c>
      <c r="X8" s="28">
        <f>Calculations!X36</f>
        <v>494333.21932125301</v>
      </c>
      <c r="Y8" s="28">
        <f>Calculations!Y36</f>
        <v>469616.55835519027</v>
      </c>
      <c r="Z8" s="28">
        <f>Calculations!Z36</f>
        <v>446135.73043743084</v>
      </c>
      <c r="AA8" s="28">
        <f>Calculations!AA36</f>
        <v>423828.94391555921</v>
      </c>
      <c r="AB8" s="28">
        <f>Calculations!AB36</f>
        <v>402637.49671978125</v>
      </c>
      <c r="AC8" s="28">
        <f>Calculations!AC36</f>
        <v>382505.62188379216</v>
      </c>
      <c r="AD8" s="28">
        <f>Calculations!AD36</f>
        <v>363380.34078960266</v>
      </c>
      <c r="AE8" s="28"/>
      <c r="AF8" s="28"/>
      <c r="AG8" s="28"/>
    </row>
    <row r="9" spans="1:33" x14ac:dyDescent="0.2">
      <c r="A9" s="12" t="s">
        <v>93</v>
      </c>
      <c r="B9" s="12" t="s">
        <v>6</v>
      </c>
      <c r="C9" s="41"/>
      <c r="D9" s="28">
        <f>Calculations!D51</f>
        <v>0</v>
      </c>
      <c r="E9" s="28">
        <f>Calculations!E51</f>
        <v>3525210.0000000005</v>
      </c>
      <c r="F9" s="28">
        <f>Calculations!F51</f>
        <v>3348949.5000000005</v>
      </c>
      <c r="G9" s="28">
        <f>Calculations!G51</f>
        <v>3181502.0250000004</v>
      </c>
      <c r="H9" s="28">
        <f>Calculations!H51</f>
        <v>3022426.9237500001</v>
      </c>
      <c r="I9" s="28">
        <f>Calculations!I51</f>
        <v>2871305.5775625003</v>
      </c>
      <c r="J9" s="28">
        <f>Calculations!J51</f>
        <v>2727740.2986843749</v>
      </c>
      <c r="K9" s="28">
        <f>Calculations!K51</f>
        <v>2591353.2837501564</v>
      </c>
      <c r="L9" s="28">
        <f>Calculations!L51</f>
        <v>2461785.6195626492</v>
      </c>
      <c r="M9" s="28">
        <f>Calculations!M51</f>
        <v>2338696.3385845162</v>
      </c>
      <c r="N9" s="28">
        <f>Calculations!N51</f>
        <v>2221761.5216552904</v>
      </c>
      <c r="O9" s="28">
        <f>Calculations!O51</f>
        <v>2110673.4455725257</v>
      </c>
      <c r="P9" s="28">
        <f>Calculations!P51</f>
        <v>2005139.7732938994</v>
      </c>
      <c r="Q9" s="28">
        <f>Calculations!Q51</f>
        <v>1904882.7846292045</v>
      </c>
      <c r="R9" s="28">
        <f>Calculations!R51</f>
        <v>1809638.6453977441</v>
      </c>
      <c r="S9" s="28">
        <f>Calculations!S51</f>
        <v>1719156.7131278571</v>
      </c>
      <c r="T9" s="28">
        <f>Calculations!T51</f>
        <v>1633198.8774714645</v>
      </c>
      <c r="U9" s="28">
        <f>Calculations!U51</f>
        <v>1551538.9335978911</v>
      </c>
      <c r="V9" s="28">
        <f>Calculations!V51</f>
        <v>1473961.9869179965</v>
      </c>
      <c r="W9" s="28">
        <f>Calculations!W51</f>
        <v>1400263.8875720967</v>
      </c>
      <c r="X9" s="28">
        <f>Calculations!X51</f>
        <v>1330250.693193492</v>
      </c>
      <c r="Y9" s="28">
        <f>Calculations!Y51</f>
        <v>1263738.1585338176</v>
      </c>
      <c r="Z9" s="28">
        <f>Calculations!Z51</f>
        <v>1200551.2506071266</v>
      </c>
      <c r="AA9" s="28">
        <f>Calculations!AA51</f>
        <v>1140523.6880767702</v>
      </c>
      <c r="AB9" s="28">
        <f>Calculations!AB51</f>
        <v>1083497.5036729316</v>
      </c>
      <c r="AC9" s="28">
        <f>Calculations!AC51</f>
        <v>1029322.6284892851</v>
      </c>
      <c r="AD9" s="28">
        <f>Calculations!AD51</f>
        <v>977856.49706482084</v>
      </c>
      <c r="AE9" s="28"/>
      <c r="AF9" s="28"/>
      <c r="AG9" s="28"/>
    </row>
    <row r="10" spans="1:33" x14ac:dyDescent="0.2">
      <c r="A10" s="12" t="s">
        <v>102</v>
      </c>
      <c r="B10" s="12" t="s">
        <v>6</v>
      </c>
      <c r="C10" s="41"/>
      <c r="D10" s="28">
        <f>SUM(D7:D9)</f>
        <v>0</v>
      </c>
      <c r="E10" s="28">
        <f t="shared" ref="E10:AD10" si="1">SUM(E7:E9)</f>
        <v>10635210</v>
      </c>
      <c r="F10" s="28">
        <f t="shared" si="1"/>
        <v>10393449.5</v>
      </c>
      <c r="G10" s="28">
        <f t="shared" si="1"/>
        <v>10163777.025</v>
      </c>
      <c r="H10" s="28">
        <f t="shared" si="1"/>
        <v>9945588.1737500001</v>
      </c>
      <c r="I10" s="28">
        <f t="shared" si="1"/>
        <v>9738308.7650624998</v>
      </c>
      <c r="J10" s="28">
        <f t="shared" si="1"/>
        <v>9541393.3268093746</v>
      </c>
      <c r="K10" s="28">
        <f t="shared" si="1"/>
        <v>9354323.6604689062</v>
      </c>
      <c r="L10" s="28">
        <f t="shared" si="1"/>
        <v>9176607.4774454609</v>
      </c>
      <c r="M10" s="28">
        <f t="shared" si="1"/>
        <v>9007777.1035731882</v>
      </c>
      <c r="N10" s="28">
        <f t="shared" si="1"/>
        <v>8847388.2483945284</v>
      </c>
      <c r="O10" s="28">
        <f t="shared" si="1"/>
        <v>8695018.8359748013</v>
      </c>
      <c r="P10" s="28">
        <f t="shared" si="1"/>
        <v>8550267.8941760622</v>
      </c>
      <c r="Q10" s="28">
        <f t="shared" si="1"/>
        <v>8412754.4994672593</v>
      </c>
      <c r="R10" s="28">
        <f t="shared" si="1"/>
        <v>8282116.7744938955</v>
      </c>
      <c r="S10" s="28">
        <f t="shared" si="1"/>
        <v>8158010.9357692013</v>
      </c>
      <c r="T10" s="28">
        <f t="shared" si="1"/>
        <v>8040110.3889807416</v>
      </c>
      <c r="U10" s="28">
        <f t="shared" si="1"/>
        <v>7928104.8695317041</v>
      </c>
      <c r="V10" s="28">
        <f t="shared" si="1"/>
        <v>7821699.6260551196</v>
      </c>
      <c r="W10" s="28">
        <f t="shared" si="1"/>
        <v>7720614.6447523627</v>
      </c>
      <c r="X10" s="28">
        <f t="shared" si="1"/>
        <v>7624583.9125147443</v>
      </c>
      <c r="Y10" s="28">
        <f t="shared" si="1"/>
        <v>7533354.716889007</v>
      </c>
      <c r="Z10" s="28">
        <f t="shared" si="1"/>
        <v>7446686.9810445569</v>
      </c>
      <c r="AA10" s="28">
        <f t="shared" si="1"/>
        <v>7364352.6319923289</v>
      </c>
      <c r="AB10" s="28">
        <f t="shared" si="1"/>
        <v>7286135.0003927127</v>
      </c>
      <c r="AC10" s="28">
        <f t="shared" si="1"/>
        <v>7211828.2503730766</v>
      </c>
      <c r="AD10" s="28">
        <f t="shared" si="1"/>
        <v>7141236.8378544236</v>
      </c>
      <c r="AE10" s="28"/>
      <c r="AF10" s="28"/>
      <c r="AG10" s="28"/>
    </row>
    <row r="11" spans="1:33" x14ac:dyDescent="0.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row>
    <row r="12" spans="1:33" x14ac:dyDescent="0.2">
      <c r="A12" s="12" t="s">
        <v>65</v>
      </c>
      <c r="B12" s="12" t="s">
        <v>4</v>
      </c>
      <c r="C12" s="41" t="s">
        <v>103</v>
      </c>
      <c r="D12" s="35">
        <f>Inputs!D56</f>
        <v>0</v>
      </c>
      <c r="E12" s="35">
        <f>Inputs!E56</f>
        <v>0.9</v>
      </c>
      <c r="F12" s="35">
        <f>Inputs!F56</f>
        <v>0.9</v>
      </c>
      <c r="G12" s="35">
        <f>Inputs!G56</f>
        <v>0.9</v>
      </c>
      <c r="H12" s="35">
        <f>Inputs!H56</f>
        <v>0.9</v>
      </c>
      <c r="I12" s="35">
        <f>Inputs!I56</f>
        <v>0.9</v>
      </c>
      <c r="J12" s="35">
        <f>Inputs!J56</f>
        <v>0.9</v>
      </c>
      <c r="K12" s="35">
        <f>Inputs!K56</f>
        <v>0.9</v>
      </c>
      <c r="L12" s="35">
        <f>Inputs!L56</f>
        <v>0.9</v>
      </c>
      <c r="M12" s="35">
        <f>Inputs!M56</f>
        <v>0.9</v>
      </c>
      <c r="N12" s="35">
        <f>Inputs!N56</f>
        <v>0.9</v>
      </c>
      <c r="O12" s="35">
        <f>Inputs!O56</f>
        <v>0.9</v>
      </c>
      <c r="P12" s="35">
        <f>Inputs!P56</f>
        <v>0.9</v>
      </c>
      <c r="Q12" s="35">
        <f>Inputs!Q56</f>
        <v>0.9</v>
      </c>
      <c r="R12" s="35">
        <f>Inputs!R56</f>
        <v>0.9</v>
      </c>
      <c r="S12" s="35">
        <f>Inputs!S56</f>
        <v>0.9</v>
      </c>
      <c r="T12" s="35">
        <f>Inputs!T56</f>
        <v>0.9</v>
      </c>
      <c r="U12" s="35">
        <f>Inputs!U56</f>
        <v>0.9</v>
      </c>
      <c r="V12" s="35">
        <f>Inputs!V56</f>
        <v>0.9</v>
      </c>
      <c r="W12" s="35">
        <f>Inputs!W56</f>
        <v>0.9</v>
      </c>
      <c r="X12" s="35">
        <f>Inputs!X56</f>
        <v>0.9</v>
      </c>
      <c r="Y12" s="35">
        <f>Inputs!Y56</f>
        <v>0.9</v>
      </c>
      <c r="Z12" s="35">
        <f>Inputs!Z56</f>
        <v>0.9</v>
      </c>
      <c r="AA12" s="35">
        <f>Inputs!AA56</f>
        <v>0.9</v>
      </c>
      <c r="AB12" s="35">
        <f>Inputs!AB56</f>
        <v>0.9</v>
      </c>
      <c r="AC12" s="35">
        <f>Inputs!AC56</f>
        <v>0.9</v>
      </c>
      <c r="AD12" s="35">
        <f>Inputs!AD56</f>
        <v>0.9</v>
      </c>
      <c r="AE12" s="35"/>
      <c r="AF12" s="35"/>
      <c r="AG12" s="35"/>
    </row>
    <row r="13" spans="1:33" x14ac:dyDescent="0.2">
      <c r="A13" s="12" t="s">
        <v>104</v>
      </c>
      <c r="B13" s="12" t="s">
        <v>6</v>
      </c>
      <c r="C13" s="41"/>
      <c r="D13" s="28">
        <f>IF(D12&gt;0,D10/D12,0)</f>
        <v>0</v>
      </c>
      <c r="E13" s="28">
        <f>IF(E12&gt;0,E10/E12,0)</f>
        <v>11816900</v>
      </c>
      <c r="F13" s="28">
        <f t="shared" ref="F13:AD13" si="2">IF(F12&gt;0,F10/F12,0)</f>
        <v>11548277.222222222</v>
      </c>
      <c r="G13" s="28">
        <f t="shared" si="2"/>
        <v>11293085.583333334</v>
      </c>
      <c r="H13" s="28">
        <f t="shared" si="2"/>
        <v>11050653.526388889</v>
      </c>
      <c r="I13" s="28">
        <f t="shared" si="2"/>
        <v>10820343.072291667</v>
      </c>
      <c r="J13" s="28">
        <f t="shared" si="2"/>
        <v>10601548.140899304</v>
      </c>
      <c r="K13" s="28">
        <f t="shared" si="2"/>
        <v>10393692.956076562</v>
      </c>
      <c r="L13" s="28">
        <f t="shared" si="2"/>
        <v>10196230.530494956</v>
      </c>
      <c r="M13" s="28">
        <f t="shared" si="2"/>
        <v>10008641.226192432</v>
      </c>
      <c r="N13" s="28">
        <f t="shared" si="2"/>
        <v>9830431.3871050309</v>
      </c>
      <c r="O13" s="28">
        <f t="shared" si="2"/>
        <v>9661132.0399720017</v>
      </c>
      <c r="P13" s="28">
        <f t="shared" si="2"/>
        <v>9500297.6601956245</v>
      </c>
      <c r="Q13" s="28">
        <f t="shared" si="2"/>
        <v>9347504.9994080663</v>
      </c>
      <c r="R13" s="28">
        <f t="shared" si="2"/>
        <v>9202351.9716598839</v>
      </c>
      <c r="S13" s="28">
        <f t="shared" si="2"/>
        <v>9064456.5952991117</v>
      </c>
      <c r="T13" s="28">
        <f t="shared" si="2"/>
        <v>8933455.9877563789</v>
      </c>
      <c r="U13" s="28">
        <f t="shared" si="2"/>
        <v>8809005.4105907828</v>
      </c>
      <c r="V13" s="28">
        <f t="shared" si="2"/>
        <v>8690777.3622834664</v>
      </c>
      <c r="W13" s="28">
        <f t="shared" si="2"/>
        <v>8578460.7163915131</v>
      </c>
      <c r="X13" s="28">
        <f t="shared" si="2"/>
        <v>8471759.9027941599</v>
      </c>
      <c r="Y13" s="28">
        <f t="shared" si="2"/>
        <v>8370394.1298766742</v>
      </c>
      <c r="Z13" s="28">
        <f t="shared" si="2"/>
        <v>8274096.6456050631</v>
      </c>
      <c r="AA13" s="28">
        <f t="shared" si="2"/>
        <v>8182614.035547032</v>
      </c>
      <c r="AB13" s="28">
        <f t="shared" si="2"/>
        <v>8095705.5559919029</v>
      </c>
      <c r="AC13" s="28">
        <f t="shared" si="2"/>
        <v>8013142.5004145298</v>
      </c>
      <c r="AD13" s="28">
        <f t="shared" si="2"/>
        <v>7934707.5976160262</v>
      </c>
      <c r="AE13" s="28"/>
      <c r="AF13" s="28"/>
      <c r="AG13" s="28"/>
    </row>
    <row r="14" spans="1:33" x14ac:dyDescent="0.2">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row>
    <row r="15" spans="1:33" x14ac:dyDescent="0.2">
      <c r="A15" s="12" t="s">
        <v>105</v>
      </c>
      <c r="B15" s="12" t="s">
        <v>6</v>
      </c>
      <c r="C15" s="41" t="s">
        <v>106</v>
      </c>
      <c r="D15" s="28">
        <f>-Inputs!D67</f>
        <v>0</v>
      </c>
      <c r="E15" s="28">
        <f>-Inputs!E67</f>
        <v>-100000</v>
      </c>
      <c r="F15" s="28">
        <f>-Inputs!F67</f>
        <v>-100000</v>
      </c>
      <c r="G15" s="28">
        <f>-Inputs!G67</f>
        <v>-100000</v>
      </c>
      <c r="H15" s="28">
        <f>-Inputs!H67</f>
        <v>-100000</v>
      </c>
      <c r="I15" s="28">
        <f>-Inputs!I67</f>
        <v>-100000</v>
      </c>
      <c r="J15" s="28">
        <f>-Inputs!J67</f>
        <v>-100000</v>
      </c>
      <c r="K15" s="28">
        <f>-Inputs!K67</f>
        <v>-100000</v>
      </c>
      <c r="L15" s="28">
        <f>-Inputs!L67</f>
        <v>-100000</v>
      </c>
      <c r="M15" s="28">
        <f>-Inputs!M67</f>
        <v>-100000</v>
      </c>
      <c r="N15" s="28">
        <f>-Inputs!N67</f>
        <v>-100000</v>
      </c>
      <c r="O15" s="28">
        <f>-Inputs!O67</f>
        <v>-100000</v>
      </c>
      <c r="P15" s="28">
        <f>-Inputs!P67</f>
        <v>-100000</v>
      </c>
      <c r="Q15" s="28">
        <f>-Inputs!Q67</f>
        <v>-100000</v>
      </c>
      <c r="R15" s="28">
        <f>-Inputs!R67</f>
        <v>-100000</v>
      </c>
      <c r="S15" s="28">
        <f>-Inputs!S67</f>
        <v>-100000</v>
      </c>
      <c r="T15" s="28">
        <f>-Inputs!T67</f>
        <v>-100000</v>
      </c>
      <c r="U15" s="28">
        <f>-Inputs!U67</f>
        <v>-100000</v>
      </c>
      <c r="V15" s="28">
        <f>-Inputs!V67</f>
        <v>-100000</v>
      </c>
      <c r="W15" s="28">
        <f>-Inputs!W67</f>
        <v>-100000</v>
      </c>
      <c r="X15" s="28">
        <f>-Inputs!X67</f>
        <v>-100000</v>
      </c>
      <c r="Y15" s="28">
        <f>-Inputs!Y67</f>
        <v>-100000</v>
      </c>
      <c r="Z15" s="28">
        <f>-Inputs!Z67</f>
        <v>-100000</v>
      </c>
      <c r="AA15" s="28">
        <f>-Inputs!AA67</f>
        <v>-100000</v>
      </c>
      <c r="AB15" s="28">
        <f>-Inputs!AB67</f>
        <v>-100000</v>
      </c>
      <c r="AC15" s="28">
        <f>-Inputs!AC67</f>
        <v>-100000</v>
      </c>
      <c r="AD15" s="28">
        <f>-Inputs!AD67</f>
        <v>-100000</v>
      </c>
      <c r="AE15" s="28"/>
      <c r="AF15" s="28"/>
      <c r="AG15" s="28"/>
    </row>
    <row r="16" spans="1:33" x14ac:dyDescent="0.2">
      <c r="A16" s="12" t="s">
        <v>107</v>
      </c>
      <c r="B16" s="12" t="s">
        <v>6</v>
      </c>
      <c r="C16" s="41"/>
      <c r="D16" s="28">
        <f t="shared" ref="D16:AD16" si="3">D13+D15</f>
        <v>0</v>
      </c>
      <c r="E16" s="28">
        <f t="shared" si="3"/>
        <v>11716900</v>
      </c>
      <c r="F16" s="28">
        <f t="shared" si="3"/>
        <v>11448277.222222222</v>
      </c>
      <c r="G16" s="28">
        <f t="shared" si="3"/>
        <v>11193085.583333334</v>
      </c>
      <c r="H16" s="28">
        <f t="shared" si="3"/>
        <v>10950653.526388889</v>
      </c>
      <c r="I16" s="28">
        <f t="shared" si="3"/>
        <v>10720343.072291667</v>
      </c>
      <c r="J16" s="28">
        <f t="shared" si="3"/>
        <v>10501548.140899304</v>
      </c>
      <c r="K16" s="28">
        <f t="shared" si="3"/>
        <v>10293692.956076562</v>
      </c>
      <c r="L16" s="28">
        <f t="shared" si="3"/>
        <v>10096230.530494956</v>
      </c>
      <c r="M16" s="28">
        <f t="shared" si="3"/>
        <v>9908641.2261924315</v>
      </c>
      <c r="N16" s="28">
        <f t="shared" si="3"/>
        <v>9730431.3871050309</v>
      </c>
      <c r="O16" s="28">
        <f t="shared" si="3"/>
        <v>9561132.0399720017</v>
      </c>
      <c r="P16" s="28">
        <f t="shared" si="3"/>
        <v>9400297.6601956245</v>
      </c>
      <c r="Q16" s="28">
        <f t="shared" si="3"/>
        <v>9247504.9994080663</v>
      </c>
      <c r="R16" s="28">
        <f t="shared" si="3"/>
        <v>9102351.9716598839</v>
      </c>
      <c r="S16" s="28">
        <f t="shared" si="3"/>
        <v>8964456.5952991117</v>
      </c>
      <c r="T16" s="28">
        <f t="shared" si="3"/>
        <v>8833455.9877563789</v>
      </c>
      <c r="U16" s="28">
        <f t="shared" si="3"/>
        <v>8709005.4105907828</v>
      </c>
      <c r="V16" s="28">
        <f t="shared" si="3"/>
        <v>8590777.3622834664</v>
      </c>
      <c r="W16" s="28">
        <f t="shared" si="3"/>
        <v>8478460.7163915131</v>
      </c>
      <c r="X16" s="28">
        <f t="shared" si="3"/>
        <v>8371759.9027941599</v>
      </c>
      <c r="Y16" s="28">
        <f t="shared" si="3"/>
        <v>8270394.1298766742</v>
      </c>
      <c r="Z16" s="28">
        <f t="shared" si="3"/>
        <v>8174096.6456050631</v>
      </c>
      <c r="AA16" s="28">
        <f t="shared" si="3"/>
        <v>8082614.035547032</v>
      </c>
      <c r="AB16" s="28">
        <f t="shared" si="3"/>
        <v>7995705.5559919029</v>
      </c>
      <c r="AC16" s="28">
        <f t="shared" si="3"/>
        <v>7913142.5004145298</v>
      </c>
      <c r="AD16" s="28">
        <f t="shared" si="3"/>
        <v>7834707.5976160262</v>
      </c>
      <c r="AE16" s="28"/>
      <c r="AF16" s="28"/>
      <c r="AG16" s="28"/>
    </row>
    <row r="17" spans="1:33" x14ac:dyDescent="0.2">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row>
    <row r="18" spans="1:33" s="10" customFormat="1" x14ac:dyDescent="0.2">
      <c r="A18" s="10" t="s">
        <v>108</v>
      </c>
      <c r="C18" s="11"/>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row>
    <row r="19" spans="1:33" x14ac:dyDescent="0.2">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row>
    <row r="20" spans="1:33" x14ac:dyDescent="0.2">
      <c r="A20" s="12" t="s">
        <v>100</v>
      </c>
      <c r="B20" s="12" t="s">
        <v>6</v>
      </c>
      <c r="C20" s="41" t="s">
        <v>109</v>
      </c>
      <c r="D20" s="36">
        <f>D16</f>
        <v>0</v>
      </c>
      <c r="E20" s="36">
        <f t="shared" ref="E20:AD20" si="4">E16</f>
        <v>11716900</v>
      </c>
      <c r="F20" s="36">
        <f t="shared" si="4"/>
        <v>11448277.222222222</v>
      </c>
      <c r="G20" s="36">
        <f t="shared" si="4"/>
        <v>11193085.583333334</v>
      </c>
      <c r="H20" s="36">
        <f t="shared" si="4"/>
        <v>10950653.526388889</v>
      </c>
      <c r="I20" s="36">
        <f t="shared" si="4"/>
        <v>10720343.072291667</v>
      </c>
      <c r="J20" s="36">
        <f t="shared" si="4"/>
        <v>10501548.140899304</v>
      </c>
      <c r="K20" s="36">
        <f t="shared" si="4"/>
        <v>10293692.956076562</v>
      </c>
      <c r="L20" s="36">
        <f t="shared" si="4"/>
        <v>10096230.530494956</v>
      </c>
      <c r="M20" s="36">
        <f t="shared" si="4"/>
        <v>9908641.2261924315</v>
      </c>
      <c r="N20" s="36">
        <f t="shared" si="4"/>
        <v>9730431.3871050309</v>
      </c>
      <c r="O20" s="36">
        <f t="shared" si="4"/>
        <v>9561132.0399720017</v>
      </c>
      <c r="P20" s="36">
        <f t="shared" si="4"/>
        <v>9400297.6601956245</v>
      </c>
      <c r="Q20" s="36">
        <f t="shared" si="4"/>
        <v>9247504.9994080663</v>
      </c>
      <c r="R20" s="36">
        <f t="shared" si="4"/>
        <v>9102351.9716598839</v>
      </c>
      <c r="S20" s="36">
        <f t="shared" si="4"/>
        <v>8964456.5952991117</v>
      </c>
      <c r="T20" s="36">
        <f t="shared" si="4"/>
        <v>8833455.9877563789</v>
      </c>
      <c r="U20" s="36">
        <f t="shared" si="4"/>
        <v>8709005.4105907828</v>
      </c>
      <c r="V20" s="36">
        <f t="shared" si="4"/>
        <v>8590777.3622834664</v>
      </c>
      <c r="W20" s="36">
        <f t="shared" si="4"/>
        <v>8478460.7163915131</v>
      </c>
      <c r="X20" s="36">
        <f t="shared" si="4"/>
        <v>8371759.9027941599</v>
      </c>
      <c r="Y20" s="36">
        <f t="shared" si="4"/>
        <v>8270394.1298766742</v>
      </c>
      <c r="Z20" s="36">
        <f t="shared" si="4"/>
        <v>8174096.6456050631</v>
      </c>
      <c r="AA20" s="36">
        <f t="shared" si="4"/>
        <v>8082614.035547032</v>
      </c>
      <c r="AB20" s="36">
        <f t="shared" si="4"/>
        <v>7995705.5559919029</v>
      </c>
      <c r="AC20" s="36">
        <f t="shared" si="4"/>
        <v>7913142.5004145298</v>
      </c>
      <c r="AD20" s="36">
        <f t="shared" si="4"/>
        <v>7834707.5976160262</v>
      </c>
      <c r="AE20" s="36"/>
      <c r="AF20" s="36"/>
      <c r="AG20" s="36"/>
    </row>
    <row r="21" spans="1:33" x14ac:dyDescent="0.2">
      <c r="A21" s="12" t="s">
        <v>46</v>
      </c>
      <c r="B21" s="12" t="s">
        <v>48</v>
      </c>
      <c r="C21" s="41"/>
      <c r="D21" s="28">
        <f>Inputs!D20</f>
        <v>0</v>
      </c>
      <c r="E21" s="28">
        <f>Inputs!E20</f>
        <v>50000000</v>
      </c>
      <c r="F21" s="28">
        <f>Inputs!F20</f>
        <v>51000000</v>
      </c>
      <c r="G21" s="28">
        <f>Inputs!G20</f>
        <v>52020000</v>
      </c>
      <c r="H21" s="28">
        <f>Inputs!H20</f>
        <v>53060400</v>
      </c>
      <c r="I21" s="28">
        <f>Inputs!I20</f>
        <v>54121608</v>
      </c>
      <c r="J21" s="28">
        <f>Inputs!J20</f>
        <v>55204040.159999996</v>
      </c>
      <c r="K21" s="28">
        <f>Inputs!K20</f>
        <v>56308120.963199995</v>
      </c>
      <c r="L21" s="28">
        <f>Inputs!L20</f>
        <v>57434283.382463992</v>
      </c>
      <c r="M21" s="28">
        <f>Inputs!M20</f>
        <v>58582969.050113276</v>
      </c>
      <c r="N21" s="28">
        <f>Inputs!N20</f>
        <v>59754628.431115538</v>
      </c>
      <c r="O21" s="28">
        <f>Inputs!O20</f>
        <v>60949720.999737859</v>
      </c>
      <c r="P21" s="28">
        <f>Inputs!P20</f>
        <v>62168715.419732615</v>
      </c>
      <c r="Q21" s="28">
        <f>Inputs!Q20</f>
        <v>63412089.728127263</v>
      </c>
      <c r="R21" s="28">
        <f>Inputs!R20</f>
        <v>64680331.522689804</v>
      </c>
      <c r="S21" s="28">
        <f>Inputs!S20</f>
        <v>65973938.1531436</v>
      </c>
      <c r="T21" s="28">
        <f>Inputs!T20</f>
        <v>67293416.916206464</v>
      </c>
      <c r="U21" s="28">
        <f>Inputs!U20</f>
        <v>68639285.254530594</v>
      </c>
      <c r="V21" s="28">
        <f>Inputs!V20</f>
        <v>70012070.959621206</v>
      </c>
      <c r="W21" s="28">
        <f>Inputs!W20</f>
        <v>71412312.378813639</v>
      </c>
      <c r="X21" s="28">
        <f>Inputs!X20</f>
        <v>72840558.626389906</v>
      </c>
      <c r="Y21" s="28">
        <f>Inputs!Y20</f>
        <v>74297369.798917711</v>
      </c>
      <c r="Z21" s="28">
        <f>Inputs!Z20</f>
        <v>75783317.194896057</v>
      </c>
      <c r="AA21" s="28">
        <f>Inputs!AA20</f>
        <v>77298983.538793981</v>
      </c>
      <c r="AB21" s="28">
        <f>Inputs!AB20</f>
        <v>78844963.209569871</v>
      </c>
      <c r="AC21" s="28">
        <f>Inputs!AC20</f>
        <v>80421862.473761261</v>
      </c>
      <c r="AD21" s="28">
        <f>Inputs!AD20</f>
        <v>82030299.723236486</v>
      </c>
      <c r="AE21" s="28"/>
      <c r="AF21" s="28"/>
      <c r="AG21" s="28"/>
    </row>
    <row r="22" spans="1:33" x14ac:dyDescent="0.2">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row>
    <row r="23" spans="1:33" ht="12.75" customHeight="1" x14ac:dyDescent="0.2">
      <c r="A23" s="12" t="s">
        <v>110</v>
      </c>
      <c r="B23" s="12" t="s">
        <v>111</v>
      </c>
      <c r="C23" s="41" t="s">
        <v>112</v>
      </c>
      <c r="D23" s="14" t="str">
        <f>IF((Tariffs!D3-Inputs!$D$8)/Inputs!$D$9=INT((Tariffs!D3-Inputs!$D$8)/Inputs!$D$9),"Y","N")</f>
        <v>N</v>
      </c>
      <c r="E23" s="14" t="str">
        <f>IF((Tariffs!E3-Inputs!$D$8)/Inputs!$D$9=INT((Tariffs!E3-Inputs!$D$8)/Inputs!$D$9),"Y","N")</f>
        <v>Y</v>
      </c>
      <c r="F23" s="14" t="str">
        <f>IF((Tariffs!F3-Inputs!$D$8)/Inputs!$D$9=INT((Tariffs!F3-Inputs!$D$8)/Inputs!$D$9),"Y","N")</f>
        <v>N</v>
      </c>
      <c r="G23" s="14" t="str">
        <f>IF((Tariffs!G3-Inputs!$D$8)/Inputs!$D$9=INT((Tariffs!G3-Inputs!$D$8)/Inputs!$D$9),"Y","N")</f>
        <v>N</v>
      </c>
      <c r="H23" s="14" t="str">
        <f>IF((Tariffs!H3-Inputs!$D$8)/Inputs!$D$9=INT((Tariffs!H3-Inputs!$D$8)/Inputs!$D$9),"Y","N")</f>
        <v>N</v>
      </c>
      <c r="I23" s="14" t="str">
        <f>IF((Tariffs!I3-Inputs!$D$8)/Inputs!$D$9=INT((Tariffs!I3-Inputs!$D$8)/Inputs!$D$9),"Y","N")</f>
        <v>N</v>
      </c>
      <c r="J23" s="14" t="str">
        <f>IF((Tariffs!J3-Inputs!$D$8)/Inputs!$D$9=INT((Tariffs!J3-Inputs!$D$8)/Inputs!$D$9),"Y","N")</f>
        <v>Y</v>
      </c>
      <c r="K23" s="14" t="str">
        <f>IF((Tariffs!K3-Inputs!$D$8)/Inputs!$D$9=INT((Tariffs!K3-Inputs!$D$8)/Inputs!$D$9),"Y","N")</f>
        <v>N</v>
      </c>
      <c r="L23" s="14" t="str">
        <f>IF((Tariffs!L3-Inputs!$D$8)/Inputs!$D$9=INT((Tariffs!L3-Inputs!$D$8)/Inputs!$D$9),"Y","N")</f>
        <v>N</v>
      </c>
      <c r="M23" s="14" t="str">
        <f>IF((Tariffs!M3-Inputs!$D$8)/Inputs!$D$9=INT((Tariffs!M3-Inputs!$D$8)/Inputs!$D$9),"Y","N")</f>
        <v>N</v>
      </c>
      <c r="N23" s="14" t="str">
        <f>IF((Tariffs!N3-Inputs!$D$8)/Inputs!$D$9=INT((Tariffs!N3-Inputs!$D$8)/Inputs!$D$9),"Y","N")</f>
        <v>N</v>
      </c>
      <c r="O23" s="14" t="str">
        <f>IF((Tariffs!O3-Inputs!$D$8)/Inputs!$D$9=INT((Tariffs!O3-Inputs!$D$8)/Inputs!$D$9),"Y","N")</f>
        <v>Y</v>
      </c>
      <c r="P23" s="14" t="str">
        <f>IF((Tariffs!P3-Inputs!$D$8)/Inputs!$D$9=INT((Tariffs!P3-Inputs!$D$8)/Inputs!$D$9),"Y","N")</f>
        <v>N</v>
      </c>
      <c r="Q23" s="14" t="str">
        <f>IF((Tariffs!Q3-Inputs!$D$8)/Inputs!$D$9=INT((Tariffs!Q3-Inputs!$D$8)/Inputs!$D$9),"Y","N")</f>
        <v>N</v>
      </c>
      <c r="R23" s="14" t="str">
        <f>IF((Tariffs!R3-Inputs!$D$8)/Inputs!$D$9=INT((Tariffs!R3-Inputs!$D$8)/Inputs!$D$9),"Y","N")</f>
        <v>N</v>
      </c>
      <c r="S23" s="14" t="str">
        <f>IF((Tariffs!S3-Inputs!$D$8)/Inputs!$D$9=INT((Tariffs!S3-Inputs!$D$8)/Inputs!$D$9),"Y","N")</f>
        <v>N</v>
      </c>
      <c r="T23" s="14" t="str">
        <f>IF((Tariffs!T3-Inputs!$D$8)/Inputs!$D$9=INT((Tariffs!T3-Inputs!$D$8)/Inputs!$D$9),"Y","N")</f>
        <v>Y</v>
      </c>
      <c r="U23" s="14" t="str">
        <f>IF((Tariffs!U3-Inputs!$D$8)/Inputs!$D$9=INT((Tariffs!U3-Inputs!$D$8)/Inputs!$D$9),"Y","N")</f>
        <v>N</v>
      </c>
      <c r="V23" s="14" t="str">
        <f>IF((Tariffs!V3-Inputs!$D$8)/Inputs!$D$9=INT((Tariffs!V3-Inputs!$D$8)/Inputs!$D$9),"Y","N")</f>
        <v>N</v>
      </c>
      <c r="W23" s="14" t="str">
        <f>IF((Tariffs!W3-Inputs!$D$8)/Inputs!$D$9=INT((Tariffs!W3-Inputs!$D$8)/Inputs!$D$9),"Y","N")</f>
        <v>N</v>
      </c>
      <c r="X23" s="14" t="str">
        <f>IF((Tariffs!X3-Inputs!$D$8)/Inputs!$D$9=INT((Tariffs!X3-Inputs!$D$8)/Inputs!$D$9),"Y","N")</f>
        <v>N</v>
      </c>
      <c r="Y23" s="14" t="str">
        <f>IF((Tariffs!Y3-Inputs!$D$8)/Inputs!$D$9=INT((Tariffs!Y3-Inputs!$D$8)/Inputs!$D$9),"Y","N")</f>
        <v>Y</v>
      </c>
      <c r="Z23" s="14" t="str">
        <f>IF((Tariffs!Z3-Inputs!$D$8)/Inputs!$D$9=INT((Tariffs!Z3-Inputs!$D$8)/Inputs!$D$9),"Y","N")</f>
        <v>N</v>
      </c>
      <c r="AA23" s="14" t="str">
        <f>IF((Tariffs!AA3-Inputs!$D$8)/Inputs!$D$9=INT((Tariffs!AA3-Inputs!$D$8)/Inputs!$D$9),"Y","N")</f>
        <v>N</v>
      </c>
      <c r="AB23" s="14" t="str">
        <f>IF((Tariffs!AB3-Inputs!$D$8)/Inputs!$D$9=INT((Tariffs!AB3-Inputs!$D$8)/Inputs!$D$9),"Y","N")</f>
        <v>N</v>
      </c>
      <c r="AC23" s="14" t="str">
        <f>IF((Tariffs!AC3-Inputs!$D$8)/Inputs!$D$9=INT((Tariffs!AC3-Inputs!$D$8)/Inputs!$D$9),"Y","N")</f>
        <v>N</v>
      </c>
      <c r="AD23" s="14" t="str">
        <f>IF((Tariffs!AD3-Inputs!$D$8)/Inputs!$D$9=INT((Tariffs!AD3-Inputs!$D$8)/Inputs!$D$9),"Y","N")</f>
        <v>Y</v>
      </c>
      <c r="AE23" s="28"/>
      <c r="AF23" s="28"/>
      <c r="AG23" s="28"/>
    </row>
    <row r="24" spans="1:33" x14ac:dyDescent="0.2">
      <c r="A24" s="12" t="s">
        <v>113</v>
      </c>
      <c r="B24" s="12" t="s">
        <v>6</v>
      </c>
      <c r="C24" s="41"/>
      <c r="D24" s="28" t="str">
        <f ca="1">IF(D23="Y",NPV(Inputs!$D$79,OFFSET(D20,0,0,,Inputs!$D$9)),"")</f>
        <v/>
      </c>
      <c r="E24" s="28">
        <f ca="1">IF(E23="Y",NPV(Inputs!$D$79,OFFSET(E20,0,0,,Inputs!$D$9)),"")</f>
        <v>38877305.419244207</v>
      </c>
      <c r="F24" s="28" t="str">
        <f ca="1">IF(F23="Y",NPV(Inputs!$D$79,OFFSET(F20,0,0,,Inputs!$D$9)),"")</f>
        <v/>
      </c>
      <c r="G24" s="28" t="str">
        <f ca="1">IF(G23="Y",NPV(Inputs!$D$79,OFFSET(G20,0,0,,Inputs!$D$9)),"")</f>
        <v/>
      </c>
      <c r="H24" s="28" t="str">
        <f ca="1">IF(H23="Y",NPV(Inputs!$D$79,OFFSET(H20,0,0,,Inputs!$D$9)),"")</f>
        <v/>
      </c>
      <c r="I24" s="28" t="str">
        <f ca="1">IF(I23="Y",NPV(Inputs!$D$79,OFFSET(I20,0,0,,Inputs!$D$9)),"")</f>
        <v/>
      </c>
      <c r="J24" s="28">
        <f ca="1">IF(J23="Y",NPV(Inputs!$D$79,OFFSET(J20,0,0,,Inputs!$D$9)),"")</f>
        <v>35033570.560646988</v>
      </c>
      <c r="K24" s="28" t="str">
        <f ca="1">IF(K23="Y",NPV(Inputs!$D$79,OFFSET(K20,0,0,,Inputs!$D$9)),"")</f>
        <v/>
      </c>
      <c r="L24" s="28" t="str">
        <f ca="1">IF(L23="Y",NPV(Inputs!$D$79,OFFSET(L20,0,0,,Inputs!$D$9)),"")</f>
        <v/>
      </c>
      <c r="M24" s="28" t="str">
        <f ca="1">IF(M23="Y",NPV(Inputs!$D$79,OFFSET(M20,0,0,,Inputs!$D$9)),"")</f>
        <v/>
      </c>
      <c r="N24" s="28" t="str">
        <f ca="1">IF(N23="Y",NPV(Inputs!$D$79,OFFSET(N20,0,0,,Inputs!$D$9)),"")</f>
        <v/>
      </c>
      <c r="O24" s="28">
        <f ca="1">IF(O23="Y",NPV(Inputs!$D$79,OFFSET(O20,0,0,,Inputs!$D$9)),"")</f>
        <v>32059361.798260201</v>
      </c>
      <c r="P24" s="28" t="str">
        <f ca="1">IF(P23="Y",NPV(Inputs!$D$79,OFFSET(P20,0,0,,Inputs!$D$9)),"")</f>
        <v/>
      </c>
      <c r="Q24" s="28" t="str">
        <f ca="1">IF(Q23="Y",NPV(Inputs!$D$79,OFFSET(Q20,0,0,,Inputs!$D$9)),"")</f>
        <v/>
      </c>
      <c r="R24" s="28" t="str">
        <f ca="1">IF(R23="Y",NPV(Inputs!$D$79,OFFSET(R20,0,0,,Inputs!$D$9)),"")</f>
        <v/>
      </c>
      <c r="S24" s="28" t="str">
        <f ca="1">IF(S23="Y",NPV(Inputs!$D$79,OFFSET(S20,0,0,,Inputs!$D$9)),"")</f>
        <v/>
      </c>
      <c r="T24" s="28">
        <f ca="1">IF(T23="Y",NPV(Inputs!$D$79,OFFSET(T20,0,0,,Inputs!$D$9)),"")</f>
        <v>29757975.753779829</v>
      </c>
      <c r="U24" s="28" t="str">
        <f ca="1">IF(U23="Y",NPV(Inputs!$D$79,OFFSET(U20,0,0,,Inputs!$D$9)),"")</f>
        <v/>
      </c>
      <c r="V24" s="28" t="str">
        <f ca="1">IF(V23="Y",NPV(Inputs!$D$79,OFFSET(V20,0,0,,Inputs!$D$9)),"")</f>
        <v/>
      </c>
      <c r="W24" s="28" t="str">
        <f ca="1">IF(W23="Y",NPV(Inputs!$D$79,OFFSET(W20,0,0,,Inputs!$D$9)),"")</f>
        <v/>
      </c>
      <c r="X24" s="28" t="str">
        <f ca="1">IF(X23="Y",NPV(Inputs!$D$79,OFFSET(X20,0,0,,Inputs!$D$9)),"")</f>
        <v/>
      </c>
      <c r="Y24" s="28">
        <f ca="1">IF(Y23="Y",NPV(Inputs!$D$79,OFFSET(Y20,0,0,,Inputs!$D$9)),"")</f>
        <v>27977207.102732401</v>
      </c>
      <c r="Z24" s="28" t="str">
        <f ca="1">IF(Z23="Y",NPV(Inputs!$D$79,OFFSET(Z20,0,0,,Inputs!$D$9)),"")</f>
        <v/>
      </c>
      <c r="AA24" s="28" t="str">
        <f ca="1">IF(AA23="Y",NPV(Inputs!$D$79,OFFSET(AA20,0,0,,Inputs!$D$9)),"")</f>
        <v/>
      </c>
      <c r="AB24" s="28" t="str">
        <f ca="1">IF(AB23="Y",NPV(Inputs!$D$79,OFFSET(AB20,0,0,,Inputs!$D$9)),"")</f>
        <v/>
      </c>
      <c r="AC24" s="28" t="str">
        <f ca="1">IF(AC23="Y",NPV(Inputs!$D$79,OFFSET(AC20,0,0,,Inputs!$D$9)),"")</f>
        <v/>
      </c>
      <c r="AD24" s="28">
        <f ca="1">IF(AD23="Y",NPV(Inputs!$D$79,OFFSET(AD20,0,0,,Inputs!$D$9)),"")</f>
        <v>6884628.820400727</v>
      </c>
      <c r="AE24" s="28"/>
      <c r="AF24" s="28"/>
      <c r="AG24" s="28"/>
    </row>
    <row r="25" spans="1:33" x14ac:dyDescent="0.2">
      <c r="A25" s="12" t="s">
        <v>114</v>
      </c>
      <c r="B25" s="12" t="s">
        <v>48</v>
      </c>
      <c r="C25" s="41"/>
      <c r="D25" s="28" t="str">
        <f ca="1">IF(D23="Y",NPV(Inputs!$D$79,OFFSET(D21,0,0,,Inputs!$D$9)),"")</f>
        <v/>
      </c>
      <c r="E25" s="28">
        <f ca="1">IF(E23="Y",NPV(Inputs!$D$79,OFFSET(E21,0,0,,Inputs!$D$9)),"")</f>
        <v>178609492.20923463</v>
      </c>
      <c r="F25" s="28" t="str">
        <f ca="1">IF(F23="Y",NPV(Inputs!$D$79,OFFSET(F21,0,0,,Inputs!$D$9)),"")</f>
        <v/>
      </c>
      <c r="G25" s="28" t="str">
        <f ca="1">IF(G23="Y",NPV(Inputs!$D$79,OFFSET(G21,0,0,,Inputs!$D$9)),"")</f>
        <v/>
      </c>
      <c r="H25" s="28" t="str">
        <f ca="1">IF(H23="Y",NPV(Inputs!$D$79,OFFSET(H21,0,0,,Inputs!$D$9)),"")</f>
        <v/>
      </c>
      <c r="I25" s="28" t="str">
        <f ca="1">IF(I23="Y",NPV(Inputs!$D$79,OFFSET(I21,0,0,,Inputs!$D$9)),"")</f>
        <v/>
      </c>
      <c r="J25" s="28">
        <f ca="1">IF(J23="Y",NPV(Inputs!$D$79,OFFSET(J21,0,0,,Inputs!$D$9)),"")</f>
        <v>197199311.61751592</v>
      </c>
      <c r="K25" s="28" t="str">
        <f ca="1">IF(K23="Y",NPV(Inputs!$D$79,OFFSET(K21,0,0,,Inputs!$D$9)),"")</f>
        <v/>
      </c>
      <c r="L25" s="28" t="str">
        <f ca="1">IF(L23="Y",NPV(Inputs!$D$79,OFFSET(L21,0,0,,Inputs!$D$9)),"")</f>
        <v/>
      </c>
      <c r="M25" s="28" t="str">
        <f ca="1">IF(M23="Y",NPV(Inputs!$D$79,OFFSET(M21,0,0,,Inputs!$D$9)),"")</f>
        <v/>
      </c>
      <c r="N25" s="28" t="str">
        <f ca="1">IF(N23="Y",NPV(Inputs!$D$79,OFFSET(N21,0,0,,Inputs!$D$9)),"")</f>
        <v/>
      </c>
      <c r="O25" s="28">
        <f ca="1">IF(O23="Y",NPV(Inputs!$D$79,OFFSET(O21,0,0,,Inputs!$D$9)),"")</f>
        <v>217723974.36115405</v>
      </c>
      <c r="P25" s="28" t="str">
        <f ca="1">IF(P23="Y",NPV(Inputs!$D$79,OFFSET(P21,0,0,,Inputs!$D$9)),"")</f>
        <v/>
      </c>
      <c r="Q25" s="28" t="str">
        <f ca="1">IF(Q23="Y",NPV(Inputs!$D$79,OFFSET(Q21,0,0,,Inputs!$D$9)),"")</f>
        <v/>
      </c>
      <c r="R25" s="28" t="str">
        <f ca="1">IF(R23="Y",NPV(Inputs!$D$79,OFFSET(R21,0,0,,Inputs!$D$9)),"")</f>
        <v/>
      </c>
      <c r="S25" s="28" t="str">
        <f ca="1">IF(S23="Y",NPV(Inputs!$D$79,OFFSET(S21,0,0,,Inputs!$D$9)),"")</f>
        <v/>
      </c>
      <c r="T25" s="28">
        <f ca="1">IF(T23="Y",NPV(Inputs!$D$79,OFFSET(T21,0,0,,Inputs!$D$9)),"")</f>
        <v>240384860.48855913</v>
      </c>
      <c r="U25" s="28" t="str">
        <f ca="1">IF(U23="Y",NPV(Inputs!$D$79,OFFSET(U21,0,0,,Inputs!$D$9)),"")</f>
        <v/>
      </c>
      <c r="V25" s="28" t="str">
        <f ca="1">IF(V23="Y",NPV(Inputs!$D$79,OFFSET(V21,0,0,,Inputs!$D$9)),"")</f>
        <v/>
      </c>
      <c r="W25" s="28" t="str">
        <f ca="1">IF(W23="Y",NPV(Inputs!$D$79,OFFSET(W21,0,0,,Inputs!$D$9)),"")</f>
        <v/>
      </c>
      <c r="X25" s="28" t="str">
        <f ca="1">IF(X23="Y",NPV(Inputs!$D$79,OFFSET(X21,0,0,,Inputs!$D$9)),"")</f>
        <v/>
      </c>
      <c r="Y25" s="28">
        <f ca="1">IF(Y23="Y",NPV(Inputs!$D$79,OFFSET(Y21,0,0,,Inputs!$D$9)),"")</f>
        <v>265404309.8453283</v>
      </c>
      <c r="Z25" s="28" t="str">
        <f ca="1">IF(Z23="Y",NPV(Inputs!$D$79,OFFSET(Z21,0,0,,Inputs!$D$9)),"")</f>
        <v/>
      </c>
      <c r="AA25" s="28" t="str">
        <f ca="1">IF(AA23="Y",NPV(Inputs!$D$79,OFFSET(AA21,0,0,,Inputs!$D$9)),"")</f>
        <v/>
      </c>
      <c r="AB25" s="28" t="str">
        <f ca="1">IF(AB23="Y",NPV(Inputs!$D$79,OFFSET(AB21,0,0,,Inputs!$D$9)),"")</f>
        <v/>
      </c>
      <c r="AC25" s="28" t="str">
        <f ca="1">IF(AC23="Y",NPV(Inputs!$D$79,OFFSET(AC21,0,0,,Inputs!$D$9)),"")</f>
        <v/>
      </c>
      <c r="AD25" s="28">
        <f ca="1">IF(AD23="Y",NPV(Inputs!$D$79,OFFSET(AD21,0,0,,Inputs!$D$9)),"")</f>
        <v>72082864.431666508</v>
      </c>
      <c r="AE25" s="28"/>
      <c r="AF25" s="28"/>
      <c r="AG25" s="28"/>
    </row>
    <row r="26" spans="1:33" x14ac:dyDescent="0.2">
      <c r="C26" s="41"/>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x14ac:dyDescent="0.2">
      <c r="A27" s="12" t="s">
        <v>115</v>
      </c>
      <c r="B27" s="12" t="s">
        <v>7</v>
      </c>
      <c r="C27" s="41"/>
      <c r="D27" s="17" t="str">
        <f t="shared" ref="D27:AD27" ca="1" si="5">IF(D25&lt;&gt;"",D24/D25,"")</f>
        <v/>
      </c>
      <c r="E27" s="17">
        <f t="shared" ca="1" si="5"/>
        <v>0.21766651334353965</v>
      </c>
      <c r="F27" s="17" t="str">
        <f t="shared" ca="1" si="5"/>
        <v/>
      </c>
      <c r="G27" s="17" t="str">
        <f t="shared" ca="1" si="5"/>
        <v/>
      </c>
      <c r="H27" s="17" t="str">
        <f t="shared" ca="1" si="5"/>
        <v/>
      </c>
      <c r="I27" s="17" t="str">
        <f t="shared" ca="1" si="5"/>
        <v/>
      </c>
      <c r="J27" s="17">
        <f t="shared" ca="1" si="5"/>
        <v>0.17765564328438146</v>
      </c>
      <c r="K27" s="17" t="str">
        <f t="shared" ca="1" si="5"/>
        <v/>
      </c>
      <c r="L27" s="17" t="str">
        <f t="shared" ca="1" si="5"/>
        <v/>
      </c>
      <c r="M27" s="17" t="str">
        <f t="shared" ca="1" si="5"/>
        <v/>
      </c>
      <c r="N27" s="17" t="str">
        <f t="shared" ca="1" si="5"/>
        <v/>
      </c>
      <c r="O27" s="17">
        <f t="shared" ca="1" si="5"/>
        <v>0.14724773370653746</v>
      </c>
      <c r="P27" s="17" t="str">
        <f t="shared" ca="1" si="5"/>
        <v/>
      </c>
      <c r="Q27" s="17" t="str">
        <f t="shared" ca="1" si="5"/>
        <v/>
      </c>
      <c r="R27" s="17" t="str">
        <f t="shared" ca="1" si="5"/>
        <v/>
      </c>
      <c r="S27" s="17" t="str">
        <f t="shared" ca="1" si="5"/>
        <v/>
      </c>
      <c r="T27" s="17">
        <f t="shared" ca="1" si="5"/>
        <v>0.12379305291231571</v>
      </c>
      <c r="U27" s="17" t="str">
        <f t="shared" ca="1" si="5"/>
        <v/>
      </c>
      <c r="V27" s="17" t="str">
        <f t="shared" ca="1" si="5"/>
        <v/>
      </c>
      <c r="W27" s="17" t="str">
        <f t="shared" ca="1" si="5"/>
        <v/>
      </c>
      <c r="X27" s="17" t="str">
        <f t="shared" ca="1" si="5"/>
        <v/>
      </c>
      <c r="Y27" s="17">
        <f t="shared" ca="1" si="5"/>
        <v>0.1054135372520397</v>
      </c>
      <c r="Z27" s="17" t="str">
        <f t="shared" ca="1" si="5"/>
        <v/>
      </c>
      <c r="AA27" s="17" t="str">
        <f t="shared" ca="1" si="5"/>
        <v/>
      </c>
      <c r="AB27" s="17" t="str">
        <f t="shared" ca="1" si="5"/>
        <v/>
      </c>
      <c r="AC27" s="17" t="str">
        <f t="shared" ca="1" si="5"/>
        <v/>
      </c>
      <c r="AD27" s="17">
        <f t="shared" ca="1" si="5"/>
        <v>9.5509922846188408E-2</v>
      </c>
      <c r="AE27" s="17"/>
      <c r="AF27" s="17"/>
      <c r="AG27" s="17"/>
    </row>
    <row r="28" spans="1:33" x14ac:dyDescent="0.2">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row>
    <row r="29" spans="1:33" s="10" customFormat="1" x14ac:dyDescent="0.2">
      <c r="A29" s="10" t="s">
        <v>116</v>
      </c>
      <c r="C29" s="11"/>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row>
    <row r="30" spans="1:33" x14ac:dyDescent="0.2">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row>
    <row r="31" spans="1:33" x14ac:dyDescent="0.2">
      <c r="A31" s="12" t="s">
        <v>117</v>
      </c>
      <c r="B31" s="12" t="str">
        <f>B27</f>
        <v>$/kWh</v>
      </c>
      <c r="C31" s="41" t="s">
        <v>118</v>
      </c>
      <c r="D31" s="17">
        <f ca="1">IF(D27&lt;&gt;"",D27,0)</f>
        <v>0</v>
      </c>
      <c r="E31" s="17">
        <f t="shared" ref="E31:AD31" ca="1" si="6">IF(E27&lt;&gt;"",E27,D31)</f>
        <v>0.21766651334353965</v>
      </c>
      <c r="F31" s="17">
        <f t="shared" ca="1" si="6"/>
        <v>0.21766651334353965</v>
      </c>
      <c r="G31" s="17">
        <f t="shared" ca="1" si="6"/>
        <v>0.21766651334353965</v>
      </c>
      <c r="H31" s="17">
        <f t="shared" ca="1" si="6"/>
        <v>0.21766651334353965</v>
      </c>
      <c r="I31" s="17">
        <f t="shared" ca="1" si="6"/>
        <v>0.21766651334353965</v>
      </c>
      <c r="J31" s="17">
        <f t="shared" ca="1" si="6"/>
        <v>0.17765564328438146</v>
      </c>
      <c r="K31" s="17">
        <f t="shared" ca="1" si="6"/>
        <v>0.17765564328438146</v>
      </c>
      <c r="L31" s="17">
        <f t="shared" ca="1" si="6"/>
        <v>0.17765564328438146</v>
      </c>
      <c r="M31" s="17">
        <f t="shared" ca="1" si="6"/>
        <v>0.17765564328438146</v>
      </c>
      <c r="N31" s="17">
        <f t="shared" ca="1" si="6"/>
        <v>0.17765564328438146</v>
      </c>
      <c r="O31" s="17">
        <f t="shared" ca="1" si="6"/>
        <v>0.14724773370653746</v>
      </c>
      <c r="P31" s="17">
        <f t="shared" ca="1" si="6"/>
        <v>0.14724773370653746</v>
      </c>
      <c r="Q31" s="17">
        <f t="shared" ca="1" si="6"/>
        <v>0.14724773370653746</v>
      </c>
      <c r="R31" s="17">
        <f t="shared" ca="1" si="6"/>
        <v>0.14724773370653746</v>
      </c>
      <c r="S31" s="17">
        <f t="shared" ca="1" si="6"/>
        <v>0.14724773370653746</v>
      </c>
      <c r="T31" s="17">
        <f t="shared" ca="1" si="6"/>
        <v>0.12379305291231571</v>
      </c>
      <c r="U31" s="17">
        <f t="shared" ca="1" si="6"/>
        <v>0.12379305291231571</v>
      </c>
      <c r="V31" s="17">
        <f t="shared" ca="1" si="6"/>
        <v>0.12379305291231571</v>
      </c>
      <c r="W31" s="17">
        <f t="shared" ca="1" si="6"/>
        <v>0.12379305291231571</v>
      </c>
      <c r="X31" s="17">
        <f t="shared" ca="1" si="6"/>
        <v>0.12379305291231571</v>
      </c>
      <c r="Y31" s="17">
        <f t="shared" ca="1" si="6"/>
        <v>0.1054135372520397</v>
      </c>
      <c r="Z31" s="17">
        <f t="shared" ca="1" si="6"/>
        <v>0.1054135372520397</v>
      </c>
      <c r="AA31" s="17">
        <f t="shared" ca="1" si="6"/>
        <v>0.1054135372520397</v>
      </c>
      <c r="AB31" s="17">
        <f t="shared" ca="1" si="6"/>
        <v>0.1054135372520397</v>
      </c>
      <c r="AC31" s="17">
        <f t="shared" ca="1" si="6"/>
        <v>0.1054135372520397</v>
      </c>
      <c r="AD31" s="17">
        <f t="shared" ca="1" si="6"/>
        <v>9.5509922846188408E-2</v>
      </c>
      <c r="AE31" s="17"/>
      <c r="AF31" s="17"/>
      <c r="AG31" s="17"/>
    </row>
    <row r="32" spans="1:33" x14ac:dyDescent="0.2">
      <c r="A32" s="12" t="s">
        <v>119</v>
      </c>
      <c r="B32" s="12" t="s">
        <v>10</v>
      </c>
      <c r="C32" s="41"/>
      <c r="D32" s="17">
        <v>1</v>
      </c>
      <c r="E32" s="17">
        <f>D32*(1+Inputs!D83)</f>
        <v>1.04</v>
      </c>
      <c r="F32" s="17">
        <f>E32*(1+Inputs!E83)</f>
        <v>1.0816000000000001</v>
      </c>
      <c r="G32" s="17">
        <f>F32*(1+Inputs!F83)</f>
        <v>1.1248640000000001</v>
      </c>
      <c r="H32" s="17">
        <f>G32*(1+Inputs!G83)</f>
        <v>1.1698585600000002</v>
      </c>
      <c r="I32" s="17">
        <f>H32*(1+Inputs!H83)</f>
        <v>1.2166529024000003</v>
      </c>
      <c r="J32" s="17">
        <f>I32*(1+Inputs!I83)</f>
        <v>1.2653190184960004</v>
      </c>
      <c r="K32" s="17">
        <f>J32*(1+Inputs!J83)</f>
        <v>1.3159317792358405</v>
      </c>
      <c r="L32" s="17">
        <f>K32*(1+Inputs!K83)</f>
        <v>1.3685690504052741</v>
      </c>
      <c r="M32" s="17">
        <f>L32*(1+Inputs!L83)</f>
        <v>1.4233118124214852</v>
      </c>
      <c r="N32" s="17">
        <f>M32*(1+Inputs!M83)</f>
        <v>1.4802442849183446</v>
      </c>
      <c r="O32" s="17">
        <f>N32*(1+Inputs!N83)</f>
        <v>1.5394540563150785</v>
      </c>
      <c r="P32" s="17">
        <f>O32*(1+Inputs!O83)</f>
        <v>1.6010322185676817</v>
      </c>
      <c r="Q32" s="17">
        <f>P32*(1+Inputs!P83)</f>
        <v>1.6650735073103891</v>
      </c>
      <c r="R32" s="17">
        <f>Q32*(1+Inputs!Q83)</f>
        <v>1.7316764476028046</v>
      </c>
      <c r="S32" s="17">
        <f>R32*(1+Inputs!R83)</f>
        <v>1.8009435055069167</v>
      </c>
      <c r="T32" s="17">
        <f>S32*(1+Inputs!S83)</f>
        <v>1.8729812457271935</v>
      </c>
      <c r="U32" s="17">
        <f>T32*(1+Inputs!T83)</f>
        <v>1.9479004955562813</v>
      </c>
      <c r="V32" s="17">
        <f>U32*(1+Inputs!U83)</f>
        <v>2.0258165153785326</v>
      </c>
      <c r="W32" s="17">
        <f>V32*(1+Inputs!V83)</f>
        <v>2.1068491759936738</v>
      </c>
      <c r="X32" s="17">
        <f>W32*(1+Inputs!W83)</f>
        <v>2.1911231430334208</v>
      </c>
      <c r="Y32" s="17">
        <f>X32*(1+Inputs!X83)</f>
        <v>2.2787680687547578</v>
      </c>
      <c r="Z32" s="17">
        <f>Y32*(1+Inputs!Y83)</f>
        <v>2.369918791504948</v>
      </c>
      <c r="AA32" s="17">
        <f>Z32*(1+Inputs!Z83)</f>
        <v>2.4647155431651462</v>
      </c>
      <c r="AB32" s="17">
        <f>AA32*(1+Inputs!AA83)</f>
        <v>2.5633041648917523</v>
      </c>
      <c r="AC32" s="17">
        <f>AB32*(1+Inputs!AB83)</f>
        <v>2.6658363314874225</v>
      </c>
      <c r="AD32" s="17">
        <f>AC32*(1+Inputs!AC83)</f>
        <v>2.7724697847469195</v>
      </c>
      <c r="AE32" s="17"/>
      <c r="AF32" s="17"/>
      <c r="AG32" s="17"/>
    </row>
    <row r="33" spans="1:33" x14ac:dyDescent="0.2">
      <c r="A33" s="12" t="s">
        <v>120</v>
      </c>
      <c r="B33" s="12" t="s">
        <v>7</v>
      </c>
      <c r="C33" s="41"/>
      <c r="D33" s="17">
        <f ca="1">IF(D31&lt;&gt;"",D31*D32,"")</f>
        <v>0</v>
      </c>
      <c r="E33" s="17">
        <f t="shared" ref="E33:AD33" ca="1" si="7">IF(E31&lt;&gt;"",E31*E32,"")</f>
        <v>0.22637317387728123</v>
      </c>
      <c r="F33" s="17">
        <f t="shared" ca="1" si="7"/>
        <v>0.23542810083237251</v>
      </c>
      <c r="G33" s="17">
        <f t="shared" ca="1" si="7"/>
        <v>0.2448452248656674</v>
      </c>
      <c r="H33" s="17">
        <f t="shared" ca="1" si="7"/>
        <v>0.25463903386029413</v>
      </c>
      <c r="I33" s="17">
        <f t="shared" ca="1" si="7"/>
        <v>0.26482459521470592</v>
      </c>
      <c r="J33" s="17">
        <f t="shared" ca="1" si="7"/>
        <v>0.22479106419086911</v>
      </c>
      <c r="K33" s="17">
        <f t="shared" ca="1" si="7"/>
        <v>0.23378270675850391</v>
      </c>
      <c r="L33" s="17">
        <f t="shared" ca="1" si="7"/>
        <v>0.24313401502884405</v>
      </c>
      <c r="M33" s="17">
        <f t="shared" ca="1" si="7"/>
        <v>0.25285937562999783</v>
      </c>
      <c r="N33" s="17">
        <f t="shared" ca="1" si="7"/>
        <v>0.26297375065519774</v>
      </c>
      <c r="O33" s="17">
        <f t="shared" ca="1" si="7"/>
        <v>0.2266811209377316</v>
      </c>
      <c r="P33" s="17">
        <f t="shared" ca="1" si="7"/>
        <v>0.23574836577524089</v>
      </c>
      <c r="Q33" s="17">
        <f t="shared" ca="1" si="7"/>
        <v>0.24517830040625052</v>
      </c>
      <c r="R33" s="17">
        <f t="shared" ca="1" si="7"/>
        <v>0.25498543242250055</v>
      </c>
      <c r="S33" s="17">
        <f t="shared" ca="1" si="7"/>
        <v>0.26518484971940054</v>
      </c>
      <c r="T33" s="17">
        <f t="shared" ca="1" si="7"/>
        <v>0.23186206645608146</v>
      </c>
      <c r="U33" s="17">
        <f t="shared" ca="1" si="7"/>
        <v>0.24113654911432472</v>
      </c>
      <c r="V33" s="17">
        <f t="shared" ca="1" si="7"/>
        <v>0.25078201107889769</v>
      </c>
      <c r="W33" s="17">
        <f t="shared" ca="1" si="7"/>
        <v>0.26081329152205363</v>
      </c>
      <c r="X33" s="17">
        <f t="shared" ca="1" si="7"/>
        <v>0.27124582318293577</v>
      </c>
      <c r="Y33" s="17">
        <f t="shared" ca="1" si="7"/>
        <v>0.24021300270443821</v>
      </c>
      <c r="Z33" s="17">
        <f t="shared" ca="1" si="7"/>
        <v>0.24982152281261574</v>
      </c>
      <c r="AA33" s="17">
        <f t="shared" ca="1" si="7"/>
        <v>0.25981438372512039</v>
      </c>
      <c r="AB33" s="17">
        <f t="shared" ca="1" si="7"/>
        <v>0.27020695907412523</v>
      </c>
      <c r="AC33" s="17">
        <f t="shared" ca="1" si="7"/>
        <v>0.28101523743709028</v>
      </c>
      <c r="AD33" s="17">
        <f t="shared" ca="1" si="7"/>
        <v>0.26479837523456684</v>
      </c>
      <c r="AE33" s="17"/>
      <c r="AF33" s="17"/>
      <c r="AG33" s="17"/>
    </row>
    <row r="35" spans="1:33" s="10" customFormat="1" x14ac:dyDescent="0.2">
      <c r="A35" s="10" t="s">
        <v>121</v>
      </c>
      <c r="C35" s="11"/>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3" x14ac:dyDescent="0.2">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row>
    <row r="37" spans="1:33" x14ac:dyDescent="0.2">
      <c r="A37" s="12" t="s">
        <v>122</v>
      </c>
      <c r="B37" s="12" t="s">
        <v>10</v>
      </c>
      <c r="C37" s="41" t="s">
        <v>123</v>
      </c>
      <c r="D37" s="37">
        <v>1</v>
      </c>
      <c r="E37" s="37">
        <v>1</v>
      </c>
      <c r="F37" s="37">
        <v>1</v>
      </c>
      <c r="G37" s="37">
        <v>1</v>
      </c>
      <c r="H37" s="37">
        <v>1</v>
      </c>
      <c r="I37" s="37">
        <v>1</v>
      </c>
      <c r="J37" s="37">
        <v>1</v>
      </c>
      <c r="K37" s="37">
        <v>1</v>
      </c>
      <c r="L37" s="37">
        <v>1</v>
      </c>
      <c r="M37" s="37">
        <v>1</v>
      </c>
      <c r="N37" s="37">
        <v>1</v>
      </c>
      <c r="O37" s="37">
        <v>1</v>
      </c>
      <c r="P37" s="37">
        <v>1</v>
      </c>
      <c r="Q37" s="37">
        <v>1</v>
      </c>
      <c r="R37" s="37">
        <v>1</v>
      </c>
      <c r="S37" s="37">
        <v>1</v>
      </c>
      <c r="T37" s="37">
        <v>1</v>
      </c>
      <c r="U37" s="37">
        <v>1</v>
      </c>
      <c r="V37" s="37">
        <v>1</v>
      </c>
      <c r="W37" s="37">
        <v>1</v>
      </c>
      <c r="X37" s="37">
        <v>1</v>
      </c>
      <c r="Y37" s="37">
        <v>1</v>
      </c>
      <c r="Z37" s="37">
        <v>1</v>
      </c>
      <c r="AA37" s="37">
        <v>1</v>
      </c>
      <c r="AB37" s="37">
        <v>1</v>
      </c>
      <c r="AC37" s="37">
        <v>1</v>
      </c>
      <c r="AD37" s="37">
        <v>1</v>
      </c>
    </row>
    <row r="38" spans="1:33" x14ac:dyDescent="0.2">
      <c r="A38" s="12" t="s">
        <v>124</v>
      </c>
      <c r="B38" s="12" t="s">
        <v>7</v>
      </c>
      <c r="C38" s="41"/>
      <c r="D38" s="18">
        <f t="shared" ref="D38:S39" si="8">D32*D36</f>
        <v>0</v>
      </c>
      <c r="E38" s="18">
        <f ca="1">E31*E37</f>
        <v>0.21766651334353965</v>
      </c>
      <c r="F38" s="18">
        <f t="shared" ref="F38:AD38" ca="1" si="9">F31*F37</f>
        <v>0.21766651334353965</v>
      </c>
      <c r="G38" s="18">
        <f t="shared" ca="1" si="9"/>
        <v>0.21766651334353965</v>
      </c>
      <c r="H38" s="18">
        <f t="shared" ca="1" si="9"/>
        <v>0.21766651334353965</v>
      </c>
      <c r="I38" s="18">
        <f t="shared" ca="1" si="9"/>
        <v>0.21766651334353965</v>
      </c>
      <c r="J38" s="18">
        <f t="shared" ca="1" si="9"/>
        <v>0.17765564328438146</v>
      </c>
      <c r="K38" s="18">
        <f t="shared" ca="1" si="9"/>
        <v>0.17765564328438146</v>
      </c>
      <c r="L38" s="18">
        <f t="shared" ca="1" si="9"/>
        <v>0.17765564328438146</v>
      </c>
      <c r="M38" s="18">
        <f t="shared" ca="1" si="9"/>
        <v>0.17765564328438146</v>
      </c>
      <c r="N38" s="18">
        <f t="shared" ca="1" si="9"/>
        <v>0.17765564328438146</v>
      </c>
      <c r="O38" s="18">
        <f t="shared" ca="1" si="9"/>
        <v>0.14724773370653746</v>
      </c>
      <c r="P38" s="18">
        <f t="shared" ca="1" si="9"/>
        <v>0.14724773370653746</v>
      </c>
      <c r="Q38" s="18">
        <f t="shared" ca="1" si="9"/>
        <v>0.14724773370653746</v>
      </c>
      <c r="R38" s="18">
        <f t="shared" ca="1" si="9"/>
        <v>0.14724773370653746</v>
      </c>
      <c r="S38" s="18">
        <f t="shared" ca="1" si="9"/>
        <v>0.14724773370653746</v>
      </c>
      <c r="T38" s="18">
        <f t="shared" ca="1" si="9"/>
        <v>0.12379305291231571</v>
      </c>
      <c r="U38" s="18">
        <f t="shared" ca="1" si="9"/>
        <v>0.12379305291231571</v>
      </c>
      <c r="V38" s="18">
        <f t="shared" ca="1" si="9"/>
        <v>0.12379305291231571</v>
      </c>
      <c r="W38" s="18">
        <f t="shared" ca="1" si="9"/>
        <v>0.12379305291231571</v>
      </c>
      <c r="X38" s="18">
        <f t="shared" ca="1" si="9"/>
        <v>0.12379305291231571</v>
      </c>
      <c r="Y38" s="18">
        <f t="shared" ca="1" si="9"/>
        <v>0.1054135372520397</v>
      </c>
      <c r="Z38" s="18">
        <f t="shared" ca="1" si="9"/>
        <v>0.1054135372520397</v>
      </c>
      <c r="AA38" s="18">
        <f t="shared" ca="1" si="9"/>
        <v>0.1054135372520397</v>
      </c>
      <c r="AB38" s="18">
        <f t="shared" ca="1" si="9"/>
        <v>0.1054135372520397</v>
      </c>
      <c r="AC38" s="18">
        <f t="shared" ca="1" si="9"/>
        <v>0.1054135372520397</v>
      </c>
      <c r="AD38" s="18">
        <f t="shared" ca="1" si="9"/>
        <v>9.5509922846188408E-2</v>
      </c>
    </row>
    <row r="39" spans="1:33" x14ac:dyDescent="0.2">
      <c r="A39" s="12" t="s">
        <v>125</v>
      </c>
      <c r="B39" s="12" t="s">
        <v>7</v>
      </c>
      <c r="C39" s="41"/>
      <c r="D39" s="18">
        <f t="shared" ca="1" si="8"/>
        <v>0</v>
      </c>
      <c r="E39" s="18">
        <f t="shared" ca="1" si="8"/>
        <v>0.22637317387728123</v>
      </c>
      <c r="F39" s="18">
        <f t="shared" ca="1" si="8"/>
        <v>0.23542810083237251</v>
      </c>
      <c r="G39" s="18">
        <f t="shared" ca="1" si="8"/>
        <v>0.2448452248656674</v>
      </c>
      <c r="H39" s="18">
        <f t="shared" ca="1" si="8"/>
        <v>0.25463903386029413</v>
      </c>
      <c r="I39" s="18">
        <f t="shared" ca="1" si="8"/>
        <v>0.26482459521470592</v>
      </c>
      <c r="J39" s="18">
        <f t="shared" ca="1" si="8"/>
        <v>0.22479106419086911</v>
      </c>
      <c r="K39" s="18">
        <f t="shared" ca="1" si="8"/>
        <v>0.23378270675850391</v>
      </c>
      <c r="L39" s="18">
        <f t="shared" ca="1" si="8"/>
        <v>0.24313401502884405</v>
      </c>
      <c r="M39" s="18">
        <f t="shared" ca="1" si="8"/>
        <v>0.25285937562999783</v>
      </c>
      <c r="N39" s="18">
        <f t="shared" ca="1" si="8"/>
        <v>0.26297375065519774</v>
      </c>
      <c r="O39" s="18">
        <f t="shared" ca="1" si="8"/>
        <v>0.2266811209377316</v>
      </c>
      <c r="P39" s="18">
        <f t="shared" ca="1" si="8"/>
        <v>0.23574836577524089</v>
      </c>
      <c r="Q39" s="18">
        <f t="shared" ca="1" si="8"/>
        <v>0.24517830040625052</v>
      </c>
      <c r="R39" s="18">
        <f t="shared" ca="1" si="8"/>
        <v>0.25498543242250055</v>
      </c>
      <c r="S39" s="18">
        <f t="shared" ca="1" si="8"/>
        <v>0.26518484971940054</v>
      </c>
      <c r="T39" s="18">
        <f t="shared" ref="T39:AD39" ca="1" si="10">T33*T37</f>
        <v>0.23186206645608146</v>
      </c>
      <c r="U39" s="18">
        <f t="shared" ca="1" si="10"/>
        <v>0.24113654911432472</v>
      </c>
      <c r="V39" s="18">
        <f t="shared" ca="1" si="10"/>
        <v>0.25078201107889769</v>
      </c>
      <c r="W39" s="18">
        <f t="shared" ca="1" si="10"/>
        <v>0.26081329152205363</v>
      </c>
      <c r="X39" s="18">
        <f t="shared" ca="1" si="10"/>
        <v>0.27124582318293577</v>
      </c>
      <c r="Y39" s="18">
        <f t="shared" ca="1" si="10"/>
        <v>0.24021300270443821</v>
      </c>
      <c r="Z39" s="18">
        <f t="shared" ca="1" si="10"/>
        <v>0.24982152281261574</v>
      </c>
      <c r="AA39" s="18">
        <f t="shared" ca="1" si="10"/>
        <v>0.25981438372512039</v>
      </c>
      <c r="AB39" s="18">
        <f t="shared" ca="1" si="10"/>
        <v>0.27020695907412523</v>
      </c>
      <c r="AC39" s="18">
        <f t="shared" ca="1" si="10"/>
        <v>0.28101523743709028</v>
      </c>
      <c r="AD39" s="18">
        <f t="shared" ca="1" si="10"/>
        <v>0.26479837523456684</v>
      </c>
    </row>
    <row r="41" spans="1:33" x14ac:dyDescent="0.2">
      <c r="A41" s="12" t="s">
        <v>26</v>
      </c>
      <c r="B41" s="12" t="s">
        <v>6</v>
      </c>
      <c r="C41" s="41" t="s">
        <v>126</v>
      </c>
      <c r="D41" s="28">
        <f ca="1">'Cash flow'!D29</f>
        <v>0</v>
      </c>
      <c r="E41" s="28">
        <f ca="1">'Cash flow'!E29</f>
        <v>-509607.17552234419</v>
      </c>
      <c r="F41" s="28">
        <f ca="1">'Cash flow'!F29</f>
        <v>-343537.34731644671</v>
      </c>
      <c r="G41" s="28">
        <f ca="1">'Cash flow'!G29</f>
        <v>526381.59044436924</v>
      </c>
      <c r="H41" s="28">
        <f ca="1">'Cash flow'!H29</f>
        <v>2130231.8914610455</v>
      </c>
      <c r="I41" s="28">
        <f ca="1">'Cash flow'!I29</f>
        <v>4500129.985653135</v>
      </c>
      <c r="J41" s="28">
        <f ca="1">'Cash flow'!J29</f>
        <v>5155049.0219076211</v>
      </c>
      <c r="K41" s="28">
        <f ca="1">'Cash flow'!K29</f>
        <v>6493956.3183992654</v>
      </c>
      <c r="L41" s="28">
        <f ca="1">'Cash flow'!L29</f>
        <v>8546597.8582638018</v>
      </c>
      <c r="M41" s="28">
        <f ca="1">'Cash flow'!M29</f>
        <v>11344768.206368154</v>
      </c>
      <c r="N41" s="28">
        <f ca="1">'Cash flow'!N29</f>
        <v>14922444.664117942</v>
      </c>
      <c r="O41" s="28"/>
      <c r="P41" s="28"/>
      <c r="Q41" s="28"/>
      <c r="R41" s="28"/>
      <c r="S41" s="28"/>
      <c r="T41" s="28"/>
      <c r="U41" s="28"/>
      <c r="V41" s="28"/>
      <c r="W41" s="28"/>
      <c r="X41" s="28"/>
      <c r="Y41" s="28"/>
      <c r="Z41" s="28"/>
      <c r="AA41" s="28"/>
      <c r="AB41" s="28"/>
      <c r="AC41" s="28"/>
      <c r="AD41" s="28"/>
      <c r="AE41" s="28"/>
      <c r="AF41" s="28"/>
    </row>
    <row r="42" spans="1:33" x14ac:dyDescent="0.2">
      <c r="A42" s="12" t="s">
        <v>127</v>
      </c>
      <c r="B42" s="12" t="s">
        <v>10</v>
      </c>
      <c r="C42" s="41"/>
      <c r="D42" s="17"/>
      <c r="E42" s="17">
        <f ca="1">'Cash flow'!E33</f>
        <v>0.72213349208160083</v>
      </c>
      <c r="F42" s="17">
        <f ca="1">'Cash flow'!F33</f>
        <v>1.09055061516134</v>
      </c>
      <c r="G42" s="17">
        <f ca="1">'Cash flow'!G33</f>
        <v>1.4743287555947742</v>
      </c>
      <c r="H42" s="17">
        <f ca="1">'Cash flow'!H33</f>
        <v>1.8745094334878278</v>
      </c>
      <c r="I42" s="17">
        <f ca="1">'Cash flow'!I33</f>
        <v>2.292201796178893</v>
      </c>
      <c r="J42" s="17">
        <f ca="1">'Cash flow'!J33</f>
        <v>1.3570987111529369</v>
      </c>
      <c r="K42" s="17">
        <f ca="1">'Cash flow'!K33</f>
        <v>1.730047598959457</v>
      </c>
      <c r="L42" s="17">
        <f ca="1">'Cash flow'!L33</f>
        <v>2.1192156705913501</v>
      </c>
      <c r="M42" s="17">
        <f ca="1">'Cash flow'!M33</f>
        <v>2.5257199280830709</v>
      </c>
      <c r="N42" s="17">
        <f ca="1">'Cash flow'!N33</f>
        <v>2.9507505222190771</v>
      </c>
      <c r="O42" s="17"/>
      <c r="P42" s="17"/>
      <c r="Q42" s="17"/>
      <c r="R42" s="17"/>
      <c r="S42" s="17"/>
      <c r="T42" s="17"/>
      <c r="U42" s="17"/>
      <c r="V42" s="17"/>
      <c r="W42" s="17"/>
      <c r="X42" s="17"/>
      <c r="Y42" s="17"/>
      <c r="Z42" s="17"/>
      <c r="AA42" s="17"/>
      <c r="AB42" s="17"/>
      <c r="AC42" s="17"/>
      <c r="AD42" s="17"/>
    </row>
    <row r="43" spans="1:33" x14ac:dyDescent="0.2">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sheetData>
  <mergeCells count="8">
    <mergeCell ref="C37:C39"/>
    <mergeCell ref="C41:C42"/>
    <mergeCell ref="C7:C10"/>
    <mergeCell ref="C12:C13"/>
    <mergeCell ref="C15:C16"/>
    <mergeCell ref="C20:C21"/>
    <mergeCell ref="C23:C27"/>
    <mergeCell ref="C31:C33"/>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5" id="{4474C996-848B-4CFB-9D33-471199F46028}">
            <xm:f>'Cash flow'!#REF!&gt;'Cash flow'!#REF!</xm:f>
            <x14:dxf>
              <font>
                <color theme="0" tint="-0.24994659260841701"/>
              </font>
            </x14:dxf>
          </x14:cfRule>
          <xm:sqref>D41:AC41</xm:sqref>
        </x14:conditionalFormatting>
        <x14:conditionalFormatting xmlns:xm="http://schemas.microsoft.com/office/excel/2006/main">
          <x14:cfRule type="expression" priority="1" id="{118F326A-BF13-4043-AD08-3387546AE013}">
            <xm:f>ISERROR('\Richard\Google Drive\Docs - Work\ECA\Projects worked on\Kenya RES 386\Docs\Richard Work in Progress\[FiT Model v2.xlsm]Inputs'!#REF!)=TRUE</xm:f>
            <x14:dxf>
              <font>
                <color theme="0" tint="-0.34998626667073579"/>
              </font>
            </x14:dxf>
          </x14:cfRule>
          <xm:sqref>D1:G1</xm:sqref>
        </x14:conditionalFormatting>
        <x14:conditionalFormatting xmlns:xm="http://schemas.microsoft.com/office/excel/2006/main">
          <x14:cfRule type="expression" priority="2" id="{8D6B86FC-4DE3-4BB1-ACD6-DB173FEA15AD}">
            <xm:f>ISERROR('\Richard\Google Drive\Docs - Work\ECA\Projects worked on\Kenya RES 386\Docs\Richard Work in Progress\[FiT Model v2.xlsm]Inputs'!#REF!)=TRUE</xm:f>
            <x14:dxf>
              <font>
                <color theme="0" tint="-0.34998626667073579"/>
              </font>
            </x14:dxf>
          </x14:cfRule>
          <xm:sqref>H1:K1</xm:sqref>
        </x14:conditionalFormatting>
        <x14:conditionalFormatting xmlns:xm="http://schemas.microsoft.com/office/excel/2006/main">
          <x14:cfRule type="expression" priority="3" id="{A9F40EEB-1D34-4F8C-B274-10E68A951059}">
            <xm:f>ISERROR('\Richard\Google Drive\Docs - Work\ECA\Projects worked on\Kenya RES 386\Docs\Richard Work in Progress\[FiT Model v2.xlsm]Inputs'!#REF!)=TRUE</xm:f>
            <x14:dxf>
              <font>
                <color theme="0" tint="-0.34998626667073579"/>
              </font>
            </x14:dxf>
          </x14:cfRule>
          <xm:sqref>M1:U1</xm:sqref>
        </x14:conditionalFormatting>
        <x14:conditionalFormatting xmlns:xm="http://schemas.microsoft.com/office/excel/2006/main">
          <x14:cfRule type="expression" priority="4" id="{03AAC529-3839-4D71-BAD8-A16B227A514D}">
            <xm:f>ISERROR('\Richard\Google Drive\Docs - Work\ECA\Projects worked on\Kenya RES 386\Docs\Richard Work in Progress\[FiT Model v2.xlsm]Inputs'!#REF!)=TRUE</xm:f>
            <x14:dxf>
              <font>
                <color theme="0" tint="-0.34998626667073579"/>
              </font>
            </x14:dxf>
          </x14:cfRule>
          <xm:sqref>L1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workbookViewId="0">
      <pane xSplit="1" ySplit="3" topLeftCell="B4" activePane="bottomRight" state="frozen"/>
      <selection activeCell="B38" sqref="B38"/>
      <selection pane="topRight" activeCell="B38" sqref="B38"/>
      <selection pane="bottomLeft" activeCell="B38" sqref="B38"/>
      <selection pane="bottomRight" activeCell="A7" sqref="A7"/>
    </sheetView>
  </sheetViews>
  <sheetFormatPr defaultRowHeight="12.75" x14ac:dyDescent="0.2"/>
  <cols>
    <col min="1" max="1" width="27.28515625" style="12" customWidth="1"/>
    <col min="2" max="2" width="10.42578125" style="12" customWidth="1"/>
    <col min="3" max="3" width="20.7109375" style="19" customWidth="1"/>
    <col min="4" max="29" width="12.28515625" style="12" customWidth="1"/>
    <col min="30" max="32" width="12.5703125" style="12" customWidth="1"/>
    <col min="33" max="16384" width="9.140625" style="12"/>
  </cols>
  <sheetData>
    <row r="1" spans="1:32" s="1" customFormat="1" ht="15.75" x14ac:dyDescent="0.25">
      <c r="A1" s="23" t="str">
        <f>[1]TITLE!Title_Project</f>
        <v>Retail Tariff Tool</v>
      </c>
      <c r="B1" s="3"/>
      <c r="C1" s="22"/>
      <c r="D1" s="22"/>
    </row>
    <row r="2" spans="1:32" s="1" customFormat="1" ht="15" x14ac:dyDescent="0.25">
      <c r="A2" s="1" t="s">
        <v>128</v>
      </c>
      <c r="C2" s="22"/>
    </row>
    <row r="3" spans="1:32" s="2" customFormat="1" ht="15" x14ac:dyDescent="0.25">
      <c r="B3" s="2" t="s">
        <v>0</v>
      </c>
      <c r="C3" s="2" t="s">
        <v>1</v>
      </c>
      <c r="D3" s="2">
        <f>Inputs!$D$7</f>
        <v>2014</v>
      </c>
      <c r="E3" s="2">
        <f t="shared" ref="E3:N3" si="0">D3+1</f>
        <v>2015</v>
      </c>
      <c r="F3" s="2">
        <f t="shared" si="0"/>
        <v>2016</v>
      </c>
      <c r="G3" s="2">
        <f t="shared" si="0"/>
        <v>2017</v>
      </c>
      <c r="H3" s="2">
        <f t="shared" si="0"/>
        <v>2018</v>
      </c>
      <c r="I3" s="2">
        <f t="shared" si="0"/>
        <v>2019</v>
      </c>
      <c r="J3" s="2">
        <f t="shared" si="0"/>
        <v>2020</v>
      </c>
      <c r="K3" s="2">
        <f t="shared" si="0"/>
        <v>2021</v>
      </c>
      <c r="L3" s="2">
        <f t="shared" si="0"/>
        <v>2022</v>
      </c>
      <c r="M3" s="2">
        <f t="shared" si="0"/>
        <v>2023</v>
      </c>
      <c r="N3" s="2">
        <f t="shared" si="0"/>
        <v>2024</v>
      </c>
    </row>
    <row r="4" spans="1:32" s="24" customFormat="1" x14ac:dyDescent="0.25">
      <c r="C4" s="25"/>
    </row>
    <row r="5" spans="1:32" s="10" customFormat="1" x14ac:dyDescent="0.2">
      <c r="A5" s="10" t="s">
        <v>13</v>
      </c>
      <c r="C5" s="11"/>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row>
    <row r="6" spans="1:32" x14ac:dyDescent="0.2">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row>
    <row r="7" spans="1:32" x14ac:dyDescent="0.2">
      <c r="A7" s="12" t="s">
        <v>129</v>
      </c>
      <c r="B7" s="12" t="s">
        <v>6</v>
      </c>
      <c r="C7" s="19" t="s">
        <v>130</v>
      </c>
      <c r="D7" s="28">
        <f ca="1">Tariffs!D39*Tariffs!D21*Tariffs!D12</f>
        <v>0</v>
      </c>
      <c r="E7" s="28">
        <f ca="1">Tariffs!E39*Tariffs!E21*Tariffs!E12</f>
        <v>10186792.824477656</v>
      </c>
      <c r="F7" s="28">
        <f ca="1">Tariffs!F39*Tariffs!F21*Tariffs!F12</f>
        <v>10806149.828205898</v>
      </c>
      <c r="G7" s="28">
        <f ca="1">Tariffs!G39*Tariffs!G21*Tariffs!G12</f>
        <v>11463163.737760816</v>
      </c>
      <c r="H7" s="28">
        <f ca="1">Tariffs!H39*Tariffs!H21*Tariffs!H12</f>
        <v>12160124.093016677</v>
      </c>
      <c r="I7" s="28">
        <f ca="1">Tariffs!I39*Tariffs!I21*Tariffs!I12</f>
        <v>12899459.637872091</v>
      </c>
      <c r="J7" s="28">
        <f ca="1">Tariffs!J39*Tariffs!J21*Tariffs!J12</f>
        <v>11168437.441681689</v>
      </c>
      <c r="K7" s="28">
        <f ca="1">Tariffs!K39*Tariffs!K21*Tariffs!K12</f>
        <v>11847478.438135935</v>
      </c>
      <c r="L7" s="28">
        <f ca="1">Tariffs!L39*Tariffs!L21*Tariffs!L12</f>
        <v>12567805.127174599</v>
      </c>
      <c r="M7" s="28">
        <f ca="1">Tariffs!M39*Tariffs!M21*Tariffs!M12</f>
        <v>13331927.678906817</v>
      </c>
      <c r="N7" s="28">
        <f ca="1">Tariffs!N39*Tariffs!N21*Tariffs!N12</f>
        <v>14142508.881784352</v>
      </c>
      <c r="O7" s="28"/>
      <c r="P7" s="28"/>
      <c r="Q7" s="28"/>
      <c r="R7" s="28"/>
      <c r="S7" s="28"/>
      <c r="T7" s="28"/>
      <c r="U7" s="28"/>
      <c r="V7" s="28"/>
      <c r="W7" s="28"/>
      <c r="X7" s="28"/>
      <c r="Y7" s="28"/>
      <c r="Z7" s="28"/>
      <c r="AA7" s="28"/>
      <c r="AB7" s="28"/>
      <c r="AC7" s="28"/>
      <c r="AD7" s="28"/>
      <c r="AE7" s="28"/>
      <c r="AF7" s="28"/>
    </row>
    <row r="8" spans="1:32" x14ac:dyDescent="0.2">
      <c r="A8" s="12" t="s">
        <v>131</v>
      </c>
      <c r="B8" s="12" t="s">
        <v>6</v>
      </c>
      <c r="C8" s="19" t="s">
        <v>132</v>
      </c>
      <c r="D8" s="28">
        <f>-Tariffs!D15*Tariffs!D32</f>
        <v>0</v>
      </c>
      <c r="E8" s="28">
        <f>-Tariffs!E15*Tariffs!E32</f>
        <v>104000</v>
      </c>
      <c r="F8" s="28">
        <f>-Tariffs!F15*Tariffs!F32</f>
        <v>108160.00000000001</v>
      </c>
      <c r="G8" s="28">
        <f>-Tariffs!G15*Tariffs!G32</f>
        <v>112486.40000000001</v>
      </c>
      <c r="H8" s="28">
        <f>-Tariffs!H15*Tariffs!H32</f>
        <v>116985.85600000001</v>
      </c>
      <c r="I8" s="28">
        <f>-Tariffs!I15*Tariffs!I32</f>
        <v>121665.29024000003</v>
      </c>
      <c r="J8" s="28">
        <f>-Tariffs!J15*Tariffs!J32</f>
        <v>126531.90184960004</v>
      </c>
      <c r="K8" s="28">
        <f>-Tariffs!K15*Tariffs!K32</f>
        <v>131593.17792358404</v>
      </c>
      <c r="L8" s="28">
        <f>-Tariffs!L15*Tariffs!L32</f>
        <v>136856.9050405274</v>
      </c>
      <c r="M8" s="28">
        <f>-Tariffs!M15*Tariffs!M32</f>
        <v>142331.18124214851</v>
      </c>
      <c r="N8" s="28">
        <f>-Tariffs!N15*Tariffs!N32</f>
        <v>148024.42849183446</v>
      </c>
      <c r="O8" s="28"/>
      <c r="P8" s="28"/>
      <c r="Q8" s="28"/>
      <c r="R8" s="28"/>
      <c r="S8" s="28"/>
      <c r="T8" s="28"/>
      <c r="U8" s="28"/>
      <c r="V8" s="28"/>
      <c r="W8" s="28"/>
      <c r="X8" s="28"/>
      <c r="Y8" s="28"/>
      <c r="Z8" s="28"/>
      <c r="AA8" s="28"/>
      <c r="AB8" s="28"/>
      <c r="AC8" s="28"/>
      <c r="AD8" s="28"/>
      <c r="AE8" s="28"/>
      <c r="AF8" s="28"/>
    </row>
    <row r="9" spans="1:32" x14ac:dyDescent="0.2">
      <c r="A9" s="12" t="s">
        <v>33</v>
      </c>
      <c r="B9" s="12" t="s">
        <v>6</v>
      </c>
      <c r="C9" s="19" t="s">
        <v>133</v>
      </c>
      <c r="D9" s="28">
        <f>-Tariffs!D7*Tariffs!D32</f>
        <v>0</v>
      </c>
      <c r="E9" s="28">
        <f>-Tariffs!E7*Tariffs!E32</f>
        <v>-6032000</v>
      </c>
      <c r="F9" s="28">
        <f>-Tariffs!F7*Tariffs!F32</f>
        <v>-6273280.0000000009</v>
      </c>
      <c r="G9" s="28">
        <f>-Tariffs!G7*Tariffs!G32</f>
        <v>-6524211.2000000002</v>
      </c>
      <c r="H9" s="28">
        <f>-Tariffs!H7*Tariffs!H32</f>
        <v>-6785179.648000001</v>
      </c>
      <c r="I9" s="28">
        <f>-Tariffs!I7*Tariffs!I32</f>
        <v>-7056586.833920002</v>
      </c>
      <c r="J9" s="28">
        <f>-Tariffs!J7*Tariffs!J32</f>
        <v>-7338850.3072768021</v>
      </c>
      <c r="K9" s="28">
        <f>-Tariffs!K7*Tariffs!K32</f>
        <v>-7632404.319567875</v>
      </c>
      <c r="L9" s="28">
        <f>-Tariffs!L7*Tariffs!L32</f>
        <v>-7937700.4923505895</v>
      </c>
      <c r="M9" s="28">
        <f>-Tariffs!M7*Tariffs!M32</f>
        <v>-8255208.5120446142</v>
      </c>
      <c r="N9" s="28">
        <f>-Tariffs!N7*Tariffs!N32</f>
        <v>-8585416.8525263984</v>
      </c>
      <c r="O9" s="28"/>
      <c r="P9" s="28"/>
      <c r="Q9" s="28"/>
      <c r="R9" s="28"/>
      <c r="S9" s="28"/>
      <c r="T9" s="28"/>
      <c r="U9" s="28"/>
      <c r="V9" s="28"/>
      <c r="W9" s="28"/>
      <c r="X9" s="28"/>
      <c r="Y9" s="28"/>
      <c r="Z9" s="28"/>
      <c r="AA9" s="28"/>
      <c r="AB9" s="28"/>
      <c r="AC9" s="28"/>
      <c r="AD9" s="28"/>
      <c r="AE9" s="28"/>
      <c r="AF9" s="28"/>
    </row>
    <row r="10" spans="1:32" x14ac:dyDescent="0.2">
      <c r="A10" s="12" t="s">
        <v>134</v>
      </c>
      <c r="B10" s="12" t="s">
        <v>6</v>
      </c>
      <c r="C10" s="19" t="s">
        <v>135</v>
      </c>
      <c r="D10" s="28"/>
      <c r="E10" s="28">
        <f>-(SUM($D20:D20)+SUM($D21:D21))*Inputs!$D$74</f>
        <v>-2934400</v>
      </c>
      <c r="F10" s="28">
        <f ca="1">-(SUM($D20:E20)+SUM($D21:E21))*Inputs!$D$74</f>
        <v>-2640960</v>
      </c>
      <c r="G10" s="28">
        <f ca="1">-(SUM($D20:F20)+SUM($D21:F21))*Inputs!$D$74</f>
        <v>-2347520</v>
      </c>
      <c r="H10" s="28">
        <f ca="1">-(SUM($D20:G20)+SUM($D21:G21))*Inputs!$D$74</f>
        <v>-2054080</v>
      </c>
      <c r="I10" s="28">
        <f ca="1">-(SUM($D20:H20)+SUM($D21:H21))*Inputs!$D$74</f>
        <v>-1760640</v>
      </c>
      <c r="J10" s="28">
        <f ca="1">-(SUM($D20:I20)+SUM($D21:I21))*Inputs!$D$74</f>
        <v>-1467200</v>
      </c>
      <c r="K10" s="28">
        <f ca="1">-(SUM($D20:J20)+SUM($D21:J21))*Inputs!$D$74</f>
        <v>-1173760</v>
      </c>
      <c r="L10" s="28">
        <f ca="1">-(SUM($D20:K20)+SUM($D21:K21))*Inputs!$D$74</f>
        <v>-880320</v>
      </c>
      <c r="M10" s="28">
        <f ca="1">-(SUM($D20:L20)+SUM($D21:L21))*Inputs!$D$74</f>
        <v>-586880</v>
      </c>
      <c r="N10" s="28">
        <f ca="1">-(SUM($D20:M20)+SUM($D21:M21))*Inputs!$D$74</f>
        <v>-293440</v>
      </c>
      <c r="O10" s="28"/>
      <c r="P10" s="28"/>
      <c r="Q10" s="28"/>
      <c r="R10" s="28"/>
      <c r="S10" s="28"/>
      <c r="T10" s="28"/>
      <c r="U10" s="28"/>
      <c r="V10" s="28"/>
      <c r="W10" s="28"/>
      <c r="X10" s="28"/>
      <c r="Y10" s="28"/>
      <c r="Z10" s="28"/>
      <c r="AA10" s="28"/>
      <c r="AB10" s="28"/>
      <c r="AC10" s="28"/>
      <c r="AD10" s="28"/>
      <c r="AE10" s="28"/>
      <c r="AF10" s="28"/>
    </row>
    <row r="11" spans="1:32" x14ac:dyDescent="0.2">
      <c r="A11" s="12" t="s">
        <v>14</v>
      </c>
      <c r="B11" s="12" t="s">
        <v>6</v>
      </c>
      <c r="C11" s="19" t="s">
        <v>136</v>
      </c>
      <c r="D11" s="28">
        <f t="shared" ref="D11:N11" ca="1" si="1">SUM(D7:D10)</f>
        <v>0</v>
      </c>
      <c r="E11" s="28">
        <f t="shared" ca="1" si="1"/>
        <v>1324392.8244776558</v>
      </c>
      <c r="F11" s="28">
        <f t="shared" ca="1" si="1"/>
        <v>2000069.8282058975</v>
      </c>
      <c r="G11" s="28">
        <f t="shared" ca="1" si="1"/>
        <v>2703918.937760816</v>
      </c>
      <c r="H11" s="28">
        <f t="shared" ca="1" si="1"/>
        <v>3437850.3010166762</v>
      </c>
      <c r="I11" s="28">
        <f t="shared" ca="1" si="1"/>
        <v>4203898.0941920895</v>
      </c>
      <c r="J11" s="28">
        <f t="shared" ca="1" si="1"/>
        <v>2488919.0362544861</v>
      </c>
      <c r="K11" s="28">
        <f t="shared" ca="1" si="1"/>
        <v>3172907.2964916443</v>
      </c>
      <c r="L11" s="28">
        <f t="shared" ca="1" si="1"/>
        <v>3886641.5398645364</v>
      </c>
      <c r="M11" s="28">
        <f t="shared" ca="1" si="1"/>
        <v>4632170.3481043521</v>
      </c>
      <c r="N11" s="28">
        <f t="shared" ca="1" si="1"/>
        <v>5411676.4577497877</v>
      </c>
      <c r="O11" s="28"/>
      <c r="P11" s="28"/>
      <c r="Q11" s="28"/>
      <c r="R11" s="28"/>
      <c r="S11" s="28"/>
      <c r="T11" s="28"/>
      <c r="U11" s="28"/>
      <c r="V11" s="28"/>
      <c r="W11" s="28"/>
      <c r="X11" s="28"/>
      <c r="Y11" s="28"/>
      <c r="Z11" s="28"/>
      <c r="AA11" s="28"/>
      <c r="AB11" s="28"/>
      <c r="AC11" s="28"/>
      <c r="AD11" s="28"/>
      <c r="AE11" s="28"/>
      <c r="AF11" s="28"/>
    </row>
    <row r="12" spans="1:32" x14ac:dyDescent="0.2">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s="10" customFormat="1" x14ac:dyDescent="0.2">
      <c r="A13" s="10" t="s">
        <v>15</v>
      </c>
      <c r="C13" s="11"/>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spans="1:32" x14ac:dyDescent="0.2">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1:32" x14ac:dyDescent="0.2">
      <c r="A15" s="12" t="s">
        <v>16</v>
      </c>
      <c r="B15" s="12" t="s">
        <v>6</v>
      </c>
      <c r="C15" s="42" t="s">
        <v>137</v>
      </c>
      <c r="D15" s="28">
        <f>-Inputs!D42*Tariffs!D32</f>
        <v>-26200000</v>
      </c>
      <c r="E15" s="28">
        <f>-Inputs!E42*Tariffs!E32</f>
        <v>0</v>
      </c>
      <c r="F15" s="28">
        <f>-Inputs!F42*Tariffs!F32</f>
        <v>0</v>
      </c>
      <c r="G15" s="28">
        <f>-Inputs!G42*Tariffs!G32</f>
        <v>0</v>
      </c>
      <c r="H15" s="28">
        <f>-Inputs!H42*Tariffs!H32</f>
        <v>0</v>
      </c>
      <c r="I15" s="28">
        <f>-Inputs!I42*Tariffs!I32</f>
        <v>0</v>
      </c>
      <c r="J15" s="28">
        <f>-Inputs!J42*Tariffs!J32</f>
        <v>0</v>
      </c>
      <c r="K15" s="28">
        <f>-Inputs!K42*Tariffs!K32</f>
        <v>0</v>
      </c>
      <c r="L15" s="28">
        <f>-Inputs!L42*Tariffs!L32</f>
        <v>0</v>
      </c>
      <c r="M15" s="28">
        <f>-Inputs!M42*Tariffs!M32</f>
        <v>0</v>
      </c>
      <c r="N15" s="28">
        <f>-Inputs!N42*Tariffs!N32</f>
        <v>0</v>
      </c>
      <c r="O15" s="28"/>
      <c r="P15" s="28"/>
      <c r="Q15" s="28"/>
      <c r="R15" s="28"/>
      <c r="S15" s="28"/>
      <c r="T15" s="28"/>
      <c r="U15" s="28"/>
      <c r="V15" s="28"/>
      <c r="W15" s="28"/>
      <c r="X15" s="28"/>
      <c r="Y15" s="28"/>
      <c r="Z15" s="28"/>
      <c r="AA15" s="28"/>
      <c r="AB15" s="28"/>
      <c r="AC15" s="28"/>
      <c r="AD15" s="28"/>
      <c r="AE15" s="28"/>
      <c r="AF15" s="28"/>
    </row>
    <row r="16" spans="1:32" x14ac:dyDescent="0.2">
      <c r="A16" s="12" t="s">
        <v>17</v>
      </c>
      <c r="B16" s="12" t="s">
        <v>6</v>
      </c>
      <c r="C16" s="42"/>
      <c r="D16" s="28">
        <f t="shared" ref="D16:I16" si="2">SUM(D15)</f>
        <v>-26200000</v>
      </c>
      <c r="E16" s="28">
        <f t="shared" si="2"/>
        <v>0</v>
      </c>
      <c r="F16" s="28">
        <f t="shared" si="2"/>
        <v>0</v>
      </c>
      <c r="G16" s="28">
        <f t="shared" si="2"/>
        <v>0</v>
      </c>
      <c r="H16" s="28">
        <f t="shared" si="2"/>
        <v>0</v>
      </c>
      <c r="I16" s="28">
        <f t="shared" si="2"/>
        <v>0</v>
      </c>
      <c r="J16" s="28">
        <f t="shared" ref="J16:N16" si="3">SUM(J15)</f>
        <v>0</v>
      </c>
      <c r="K16" s="28">
        <f t="shared" si="3"/>
        <v>0</v>
      </c>
      <c r="L16" s="28">
        <f t="shared" si="3"/>
        <v>0</v>
      </c>
      <c r="M16" s="28">
        <f t="shared" si="3"/>
        <v>0</v>
      </c>
      <c r="N16" s="28">
        <f t="shared" si="3"/>
        <v>0</v>
      </c>
      <c r="O16" s="28"/>
      <c r="P16" s="28"/>
      <c r="Q16" s="28"/>
      <c r="R16" s="28"/>
      <c r="S16" s="28"/>
      <c r="T16" s="28"/>
      <c r="U16" s="28"/>
      <c r="V16" s="28"/>
      <c r="W16" s="28"/>
      <c r="X16" s="28"/>
      <c r="Y16" s="28"/>
      <c r="Z16" s="28"/>
      <c r="AA16" s="28"/>
      <c r="AB16" s="28"/>
      <c r="AC16" s="28"/>
      <c r="AD16" s="28"/>
      <c r="AE16" s="28"/>
      <c r="AF16" s="28"/>
    </row>
    <row r="17" spans="1:32" s="20" customFormat="1" ht="12" x14ac:dyDescent="0.2">
      <c r="A17" s="38"/>
      <c r="D17" s="39"/>
      <c r="E17" s="39"/>
      <c r="F17" s="39"/>
      <c r="G17" s="39"/>
      <c r="H17" s="39"/>
      <c r="I17" s="39"/>
      <c r="J17" s="39"/>
      <c r="K17" s="39"/>
      <c r="L17" s="39"/>
      <c r="M17" s="39"/>
      <c r="N17" s="39"/>
      <c r="O17" s="39"/>
      <c r="P17" s="39"/>
      <c r="Q17" s="39"/>
      <c r="R17" s="39"/>
      <c r="S17" s="39"/>
      <c r="T17" s="39"/>
      <c r="U17" s="39"/>
      <c r="V17" s="39"/>
      <c r="W17" s="39"/>
      <c r="X17" s="39"/>
    </row>
    <row r="18" spans="1:32" s="10" customFormat="1" x14ac:dyDescent="0.2">
      <c r="A18" s="10" t="s">
        <v>18</v>
      </c>
      <c r="C18" s="11"/>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32" x14ac:dyDescent="0.2">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row>
    <row r="20" spans="1:32" x14ac:dyDescent="0.2">
      <c r="A20" s="12" t="s">
        <v>19</v>
      </c>
      <c r="B20" s="12" t="s">
        <v>6</v>
      </c>
      <c r="C20" s="19" t="s">
        <v>138</v>
      </c>
      <c r="D20" s="28">
        <f>-Inputs!$D$71*D16</f>
        <v>18340000</v>
      </c>
      <c r="E20" s="28">
        <f>-Inputs!$D$71*E16</f>
        <v>0</v>
      </c>
      <c r="F20" s="28">
        <f>-Inputs!$D$71*F16</f>
        <v>0</v>
      </c>
      <c r="G20" s="28">
        <f>-Inputs!$D$71*G16</f>
        <v>0</v>
      </c>
      <c r="H20" s="28">
        <f>-Inputs!$D$71*H16</f>
        <v>0</v>
      </c>
      <c r="I20" s="28">
        <f>-Inputs!$D$71*I16</f>
        <v>0</v>
      </c>
      <c r="J20" s="28">
        <f>-Inputs!$D$71*J16</f>
        <v>0</v>
      </c>
      <c r="K20" s="28">
        <f>-Inputs!$D$71*K16</f>
        <v>0</v>
      </c>
      <c r="L20" s="28">
        <f>-Inputs!$D$71*L16</f>
        <v>0</v>
      </c>
      <c r="M20" s="28">
        <f>-Inputs!$D$71*M16</f>
        <v>0</v>
      </c>
      <c r="N20" s="28">
        <f>-Inputs!$D$71*N16</f>
        <v>0</v>
      </c>
      <c r="O20" s="28"/>
      <c r="P20" s="28"/>
      <c r="Q20" s="28"/>
      <c r="R20" s="28"/>
      <c r="S20" s="28"/>
      <c r="T20" s="28"/>
      <c r="U20" s="28"/>
      <c r="V20" s="28"/>
      <c r="W20" s="28"/>
      <c r="X20" s="28"/>
      <c r="Y20" s="28"/>
      <c r="Z20" s="28"/>
      <c r="AA20" s="28"/>
      <c r="AB20" s="28"/>
      <c r="AC20" s="28"/>
      <c r="AD20" s="28"/>
      <c r="AE20" s="28"/>
      <c r="AF20" s="28"/>
    </row>
    <row r="21" spans="1:32" x14ac:dyDescent="0.2">
      <c r="A21" s="12" t="s">
        <v>20</v>
      </c>
      <c r="B21" s="12" t="s">
        <v>6</v>
      </c>
      <c r="C21" s="19" t="s">
        <v>139</v>
      </c>
      <c r="D21" s="28"/>
      <c r="E21" s="28">
        <f ca="1">-SUM(OFFSET(D20,0,0,,-MIN(COLUMN(D20)-COLUMN($D20)+1,Inputs!$D$72)))/Inputs!$D$72</f>
        <v>-1834000</v>
      </c>
      <c r="F21" s="28">
        <f ca="1">-SUM(OFFSET(E20,0,0,,-MIN(COLUMN(E20)-COLUMN($D20)+1,Inputs!$D$72)))/Inputs!$D$72</f>
        <v>-1834000</v>
      </c>
      <c r="G21" s="28">
        <f ca="1">-SUM(OFFSET(F20,0,0,,-MIN(COLUMN(F20)-COLUMN($D20)+1,Inputs!$D$72)))/Inputs!$D$72</f>
        <v>-1834000</v>
      </c>
      <c r="H21" s="28">
        <f ca="1">-SUM(OFFSET(G20,0,0,,-MIN(COLUMN(G20)-COLUMN($D20)+1,Inputs!$D$72)))/Inputs!$D$72</f>
        <v>-1834000</v>
      </c>
      <c r="I21" s="28">
        <f ca="1">-SUM(OFFSET(H20,0,0,,-MIN(COLUMN(H20)-COLUMN($D20)+1,Inputs!$D$72)))/Inputs!$D$72</f>
        <v>-1834000</v>
      </c>
      <c r="J21" s="28">
        <f ca="1">-SUM(OFFSET(I20,0,0,,-MIN(COLUMN(I20)-COLUMN($D20)+1,Inputs!$D$72)))/Inputs!$D$72</f>
        <v>-1834000</v>
      </c>
      <c r="K21" s="28">
        <f ca="1">-SUM(OFFSET(J20,0,0,,-MIN(COLUMN(J20)-COLUMN($D20)+1,Inputs!$D$72)))/Inputs!$D$72</f>
        <v>-1834000</v>
      </c>
      <c r="L21" s="28">
        <f ca="1">-SUM(OFFSET(K20,0,0,,-MIN(COLUMN(K20)-COLUMN($D20)+1,Inputs!$D$72)))/Inputs!$D$72</f>
        <v>-1834000</v>
      </c>
      <c r="M21" s="28">
        <f ca="1">-SUM(OFFSET(L20,0,0,,-MIN(COLUMN(L20)-COLUMN($D20)+1,Inputs!$D$72)))/Inputs!$D$72</f>
        <v>-1834000</v>
      </c>
      <c r="N21" s="28">
        <f ca="1">-SUM(OFFSET(M20,0,0,,-MIN(COLUMN(M20)-COLUMN($D20)+1,Inputs!$D$72)))/Inputs!$D$72</f>
        <v>-1834000</v>
      </c>
      <c r="O21" s="28"/>
      <c r="P21" s="28"/>
      <c r="Q21" s="28"/>
      <c r="R21" s="28"/>
      <c r="S21" s="28"/>
      <c r="T21" s="28"/>
      <c r="U21" s="28"/>
      <c r="V21" s="28"/>
      <c r="W21" s="28"/>
      <c r="X21" s="28"/>
      <c r="Y21" s="28"/>
      <c r="Z21" s="28"/>
      <c r="AA21" s="28"/>
      <c r="AB21" s="28"/>
      <c r="AC21" s="28"/>
      <c r="AD21" s="28"/>
      <c r="AE21" s="28"/>
      <c r="AF21" s="28"/>
    </row>
    <row r="22" spans="1:32" x14ac:dyDescent="0.2">
      <c r="A22" s="12" t="s">
        <v>21</v>
      </c>
      <c r="B22" s="12" t="s">
        <v>6</v>
      </c>
      <c r="C22" s="19" t="s">
        <v>140</v>
      </c>
      <c r="D22" s="28">
        <f>-D16*(1-Inputs!$D$71)</f>
        <v>7860000.0000000009</v>
      </c>
      <c r="E22" s="28">
        <f>-E16*(1-Inputs!$D$71)</f>
        <v>0</v>
      </c>
      <c r="F22" s="28">
        <f>-F16*(1-Inputs!$D$71)</f>
        <v>0</v>
      </c>
      <c r="G22" s="28">
        <f>-G16*(1-Inputs!$D$71)</f>
        <v>0</v>
      </c>
      <c r="H22" s="28">
        <f>-H16*(1-Inputs!$D$71)</f>
        <v>0</v>
      </c>
      <c r="I22" s="28">
        <f>-I16*(1-Inputs!$D$71)</f>
        <v>0</v>
      </c>
      <c r="J22" s="28">
        <f>-J16*(1-Inputs!$D$71)</f>
        <v>0</v>
      </c>
      <c r="K22" s="28">
        <f>-K16*(1-Inputs!$D$71)</f>
        <v>0</v>
      </c>
      <c r="L22" s="28">
        <f>-L16*(1-Inputs!$D$71)</f>
        <v>0</v>
      </c>
      <c r="M22" s="28">
        <f>-M16*(1-Inputs!$D$71)</f>
        <v>0</v>
      </c>
      <c r="N22" s="28">
        <f>-N16*(1-Inputs!$D$71)</f>
        <v>0</v>
      </c>
      <c r="O22" s="28"/>
      <c r="P22" s="28"/>
      <c r="Q22" s="28"/>
      <c r="R22" s="28"/>
      <c r="S22" s="28"/>
      <c r="T22" s="28"/>
      <c r="U22" s="28"/>
      <c r="V22" s="28"/>
      <c r="W22" s="28"/>
      <c r="X22" s="28"/>
      <c r="Y22" s="28"/>
      <c r="Z22" s="28"/>
      <c r="AA22" s="28"/>
      <c r="AB22" s="28"/>
      <c r="AC22" s="28"/>
      <c r="AD22" s="28"/>
      <c r="AE22" s="28"/>
      <c r="AF22" s="28"/>
    </row>
    <row r="23" spans="1:32" x14ac:dyDescent="0.2">
      <c r="A23" s="12" t="s">
        <v>22</v>
      </c>
      <c r="B23" s="12" t="s">
        <v>6</v>
      </c>
      <c r="C23" s="19" t="s">
        <v>141</v>
      </c>
      <c r="D23" s="28">
        <f>SUM(D20:D22)</f>
        <v>26200000</v>
      </c>
      <c r="E23" s="28">
        <f t="shared" ref="E23:N23" ca="1" si="4">SUM(E20:E22)</f>
        <v>-1834000</v>
      </c>
      <c r="F23" s="28">
        <f t="shared" ca="1" si="4"/>
        <v>-1834000</v>
      </c>
      <c r="G23" s="28">
        <f t="shared" ca="1" si="4"/>
        <v>-1834000</v>
      </c>
      <c r="H23" s="28">
        <f t="shared" ca="1" si="4"/>
        <v>-1834000</v>
      </c>
      <c r="I23" s="28">
        <f t="shared" ca="1" si="4"/>
        <v>-1834000</v>
      </c>
      <c r="J23" s="28">
        <f t="shared" ca="1" si="4"/>
        <v>-1834000</v>
      </c>
      <c r="K23" s="28">
        <f t="shared" ca="1" si="4"/>
        <v>-1834000</v>
      </c>
      <c r="L23" s="28">
        <f t="shared" ca="1" si="4"/>
        <v>-1834000</v>
      </c>
      <c r="M23" s="28">
        <f t="shared" ca="1" si="4"/>
        <v>-1834000</v>
      </c>
      <c r="N23" s="28">
        <f t="shared" ca="1" si="4"/>
        <v>-1834000</v>
      </c>
      <c r="O23" s="28"/>
      <c r="P23" s="28"/>
      <c r="Q23" s="28"/>
      <c r="R23" s="28"/>
      <c r="S23" s="28"/>
      <c r="T23" s="28"/>
      <c r="U23" s="28"/>
      <c r="V23" s="28"/>
      <c r="W23" s="28"/>
      <c r="X23" s="28"/>
      <c r="Y23" s="28"/>
      <c r="Z23" s="28"/>
      <c r="AA23" s="28"/>
      <c r="AB23" s="28"/>
      <c r="AC23" s="28"/>
      <c r="AD23" s="28"/>
      <c r="AE23" s="28"/>
      <c r="AF23" s="28"/>
    </row>
    <row r="24" spans="1:32" s="20" customFormat="1" ht="12" x14ac:dyDescent="0.2">
      <c r="D24" s="39"/>
      <c r="E24" s="39"/>
      <c r="F24" s="39"/>
      <c r="G24" s="39"/>
      <c r="H24" s="39"/>
      <c r="I24" s="39"/>
      <c r="J24" s="39"/>
      <c r="K24" s="39"/>
      <c r="L24" s="39"/>
      <c r="M24" s="39"/>
      <c r="N24" s="39"/>
      <c r="O24" s="39"/>
      <c r="P24" s="39"/>
      <c r="Q24" s="39"/>
      <c r="R24" s="39"/>
      <c r="S24" s="39"/>
      <c r="T24" s="39"/>
      <c r="U24" s="39"/>
      <c r="V24" s="39"/>
      <c r="W24" s="39"/>
      <c r="X24" s="39"/>
    </row>
    <row r="25" spans="1:32" s="10" customFormat="1" x14ac:dyDescent="0.2">
      <c r="A25" s="10" t="s">
        <v>23</v>
      </c>
      <c r="C25" s="11"/>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spans="1:32" s="20" customFormat="1" ht="12" x14ac:dyDescent="0.2"/>
    <row r="27" spans="1:32" x14ac:dyDescent="0.2">
      <c r="A27" s="12" t="s">
        <v>24</v>
      </c>
      <c r="B27" s="12" t="s">
        <v>6</v>
      </c>
      <c r="D27" s="28">
        <v>0</v>
      </c>
      <c r="E27" s="28">
        <f ca="1">D29</f>
        <v>0</v>
      </c>
      <c r="F27" s="28">
        <f t="shared" ref="F27:N27" ca="1" si="5">E29</f>
        <v>-509607.17552234419</v>
      </c>
      <c r="G27" s="28">
        <f t="shared" ca="1" si="5"/>
        <v>-343537.34731644671</v>
      </c>
      <c r="H27" s="28">
        <f t="shared" ca="1" si="5"/>
        <v>526381.59044436924</v>
      </c>
      <c r="I27" s="28">
        <f t="shared" ca="1" si="5"/>
        <v>2130231.8914610455</v>
      </c>
      <c r="J27" s="28">
        <f t="shared" ca="1" si="5"/>
        <v>4500129.985653135</v>
      </c>
      <c r="K27" s="28">
        <f t="shared" ca="1" si="5"/>
        <v>5155049.0219076211</v>
      </c>
      <c r="L27" s="28">
        <f t="shared" ca="1" si="5"/>
        <v>6493956.3183992654</v>
      </c>
      <c r="M27" s="28">
        <f t="shared" ca="1" si="5"/>
        <v>8546597.8582638018</v>
      </c>
      <c r="N27" s="28">
        <f t="shared" ca="1" si="5"/>
        <v>11344768.206368154</v>
      </c>
      <c r="O27" s="28"/>
      <c r="P27" s="28"/>
      <c r="Q27" s="28"/>
      <c r="R27" s="28"/>
      <c r="S27" s="28"/>
      <c r="T27" s="28"/>
      <c r="U27" s="28"/>
      <c r="V27" s="28"/>
      <c r="W27" s="28"/>
      <c r="X27" s="28"/>
      <c r="Y27" s="28"/>
      <c r="Z27" s="28"/>
      <c r="AA27" s="28"/>
      <c r="AB27" s="28"/>
      <c r="AC27" s="28"/>
      <c r="AD27" s="28"/>
      <c r="AE27" s="28"/>
      <c r="AF27" s="28"/>
    </row>
    <row r="28" spans="1:32" x14ac:dyDescent="0.2">
      <c r="A28" s="12" t="s">
        <v>25</v>
      </c>
      <c r="B28" s="12" t="s">
        <v>6</v>
      </c>
      <c r="D28" s="28">
        <f ca="1">D11+D16+D23</f>
        <v>0</v>
      </c>
      <c r="E28" s="28">
        <f ca="1">E11+E16+E23</f>
        <v>-509607.17552234419</v>
      </c>
      <c r="F28" s="28">
        <f t="shared" ref="F28:N28" ca="1" si="6">F11+F16+F23</f>
        <v>166069.82820589747</v>
      </c>
      <c r="G28" s="28">
        <f t="shared" ca="1" si="6"/>
        <v>869918.93776081596</v>
      </c>
      <c r="H28" s="28">
        <f t="shared" ca="1" si="6"/>
        <v>1603850.3010166762</v>
      </c>
      <c r="I28" s="28">
        <f t="shared" ca="1" si="6"/>
        <v>2369898.0941920895</v>
      </c>
      <c r="J28" s="28">
        <f t="shared" ca="1" si="6"/>
        <v>654919.03625448607</v>
      </c>
      <c r="K28" s="28">
        <f t="shared" ca="1" si="6"/>
        <v>1338907.2964916443</v>
      </c>
      <c r="L28" s="28">
        <f t="shared" ca="1" si="6"/>
        <v>2052641.5398645364</v>
      </c>
      <c r="M28" s="28">
        <f t="shared" ca="1" si="6"/>
        <v>2798170.3481043521</v>
      </c>
      <c r="N28" s="28">
        <f t="shared" ca="1" si="6"/>
        <v>3577676.4577497877</v>
      </c>
      <c r="O28" s="28"/>
      <c r="P28" s="28"/>
      <c r="Q28" s="28"/>
      <c r="R28" s="28"/>
      <c r="S28" s="28"/>
      <c r="T28" s="28"/>
      <c r="U28" s="28"/>
      <c r="V28" s="28"/>
      <c r="W28" s="28"/>
      <c r="X28" s="28"/>
      <c r="Y28" s="28"/>
      <c r="Z28" s="28"/>
      <c r="AA28" s="28"/>
      <c r="AB28" s="28"/>
      <c r="AC28" s="28"/>
      <c r="AD28" s="28"/>
      <c r="AE28" s="28"/>
      <c r="AF28" s="28"/>
    </row>
    <row r="29" spans="1:32" x14ac:dyDescent="0.2">
      <c r="A29" s="12" t="s">
        <v>26</v>
      </c>
      <c r="B29" s="12" t="s">
        <v>6</v>
      </c>
      <c r="D29" s="28">
        <f t="shared" ref="D29:N29" ca="1" si="7">D27+D28</f>
        <v>0</v>
      </c>
      <c r="E29" s="28">
        <f t="shared" ca="1" si="7"/>
        <v>-509607.17552234419</v>
      </c>
      <c r="F29" s="28">
        <f t="shared" ca="1" si="7"/>
        <v>-343537.34731644671</v>
      </c>
      <c r="G29" s="28">
        <f t="shared" ca="1" si="7"/>
        <v>526381.59044436924</v>
      </c>
      <c r="H29" s="28">
        <f t="shared" ca="1" si="7"/>
        <v>2130231.8914610455</v>
      </c>
      <c r="I29" s="28">
        <f t="shared" ca="1" si="7"/>
        <v>4500129.985653135</v>
      </c>
      <c r="J29" s="28">
        <f t="shared" ca="1" si="7"/>
        <v>5155049.0219076211</v>
      </c>
      <c r="K29" s="28">
        <f t="shared" ca="1" si="7"/>
        <v>6493956.3183992654</v>
      </c>
      <c r="L29" s="28">
        <f t="shared" ca="1" si="7"/>
        <v>8546597.8582638018</v>
      </c>
      <c r="M29" s="28">
        <f t="shared" ca="1" si="7"/>
        <v>11344768.206368154</v>
      </c>
      <c r="N29" s="28">
        <f t="shared" ca="1" si="7"/>
        <v>14922444.664117942</v>
      </c>
      <c r="O29" s="28"/>
      <c r="P29" s="28"/>
      <c r="Q29" s="28"/>
      <c r="R29" s="28"/>
      <c r="S29" s="28"/>
      <c r="T29" s="28"/>
      <c r="U29" s="28"/>
      <c r="V29" s="28"/>
      <c r="W29" s="28"/>
      <c r="X29" s="28"/>
      <c r="Y29" s="28"/>
      <c r="Z29" s="28"/>
      <c r="AA29" s="28"/>
      <c r="AB29" s="28"/>
      <c r="AC29" s="28"/>
      <c r="AD29" s="28"/>
      <c r="AE29" s="28"/>
      <c r="AF29" s="28"/>
    </row>
    <row r="30" spans="1:32" s="20" customFormat="1" ht="12" x14ac:dyDescent="0.2"/>
    <row r="31" spans="1:32" s="10" customFormat="1" x14ac:dyDescent="0.2">
      <c r="A31" s="10" t="s">
        <v>127</v>
      </c>
      <c r="C31" s="11"/>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x14ac:dyDescent="0.2">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spans="1:32" x14ac:dyDescent="0.2">
      <c r="A33" s="12" t="s">
        <v>142</v>
      </c>
      <c r="B33" s="12" t="s">
        <v>9</v>
      </c>
      <c r="C33" s="17"/>
      <c r="D33" s="17"/>
      <c r="E33" s="17">
        <f ca="1">IF(E21&lt;&gt;0,E11/-E21,"")</f>
        <v>0.72213349208160083</v>
      </c>
      <c r="F33" s="17">
        <f t="shared" ref="F33:N33" ca="1" si="8">IF(F21&lt;&gt;0,F11/-F21,"")</f>
        <v>1.09055061516134</v>
      </c>
      <c r="G33" s="17">
        <f t="shared" ca="1" si="8"/>
        <v>1.4743287555947742</v>
      </c>
      <c r="H33" s="17">
        <f t="shared" ca="1" si="8"/>
        <v>1.8745094334878278</v>
      </c>
      <c r="I33" s="17">
        <f t="shared" ca="1" si="8"/>
        <v>2.292201796178893</v>
      </c>
      <c r="J33" s="17">
        <f t="shared" ca="1" si="8"/>
        <v>1.3570987111529369</v>
      </c>
      <c r="K33" s="17">
        <f t="shared" ca="1" si="8"/>
        <v>1.730047598959457</v>
      </c>
      <c r="L33" s="17">
        <f t="shared" ca="1" si="8"/>
        <v>2.1192156705913501</v>
      </c>
      <c r="M33" s="17">
        <f t="shared" ca="1" si="8"/>
        <v>2.5257199280830709</v>
      </c>
      <c r="N33" s="17">
        <f t="shared" ca="1" si="8"/>
        <v>2.9507505222190771</v>
      </c>
      <c r="O33" s="28"/>
      <c r="P33" s="28"/>
      <c r="Q33" s="28"/>
      <c r="R33" s="28"/>
      <c r="S33" s="28"/>
      <c r="T33" s="28"/>
      <c r="U33" s="28"/>
      <c r="V33" s="28"/>
      <c r="W33" s="28"/>
      <c r="X33" s="28"/>
      <c r="Y33" s="28"/>
      <c r="Z33" s="28"/>
      <c r="AA33" s="28"/>
      <c r="AB33" s="28"/>
      <c r="AC33" s="28"/>
      <c r="AD33" s="28"/>
      <c r="AE33" s="28"/>
      <c r="AF33" s="28"/>
    </row>
    <row r="34" spans="1:32" x14ac:dyDescent="0.2">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row>
  </sheetData>
  <mergeCells count="1">
    <mergeCell ref="C15:C16"/>
  </mergeCells>
  <conditionalFormatting sqref="D17:Y17 D24:Y24 D11:Y12 D27:AC30 D14:Y14 D15:AC16 D19:AC23 D26:Y26 D32:AC32 D7:AC10 D34:AC34 O33:AC33">
    <cfRule type="expression" dxfId="5" priority="6">
      <formula>#REF!&gt;#REF!</formula>
    </cfRule>
  </conditionalFormatting>
  <conditionalFormatting sqref="C33:N33">
    <cfRule type="expression" dxfId="4" priority="5">
      <formula>#REF!&gt;#REF!</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1" id="{681A9104-6B9A-4EA8-8F86-9CD67AD6442A}">
            <xm:f>ISERROR('\Richard\Google Drive\Docs - Work\ECA\Projects worked on\Kenya RES 386\Docs\Richard Work in Progress\[FiT Model v2.xlsm]Inputs'!#REF!)=TRUE</xm:f>
            <x14:dxf>
              <font>
                <color theme="0" tint="-0.34998626667073579"/>
              </font>
            </x14:dxf>
          </x14:cfRule>
          <xm:sqref>D1:G1</xm:sqref>
        </x14:conditionalFormatting>
        <x14:conditionalFormatting xmlns:xm="http://schemas.microsoft.com/office/excel/2006/main">
          <x14:cfRule type="expression" priority="2" id="{743968AA-5FDF-4F8C-80A6-CCC90F72702F}">
            <xm:f>ISERROR('\Richard\Google Drive\Docs - Work\ECA\Projects worked on\Kenya RES 386\Docs\Richard Work in Progress\[FiT Model v2.xlsm]Inputs'!#REF!)=TRUE</xm:f>
            <x14:dxf>
              <font>
                <color theme="0" tint="-0.34998626667073579"/>
              </font>
            </x14:dxf>
          </x14:cfRule>
          <xm:sqref>H1:K1</xm:sqref>
        </x14:conditionalFormatting>
        <x14:conditionalFormatting xmlns:xm="http://schemas.microsoft.com/office/excel/2006/main">
          <x14:cfRule type="expression" priority="3" id="{31EA848A-99FA-4E7D-AA86-ECFB3C3CE63F}">
            <xm:f>ISERROR('\Richard\Google Drive\Docs - Work\ECA\Projects worked on\Kenya RES 386\Docs\Richard Work in Progress\[FiT Model v2.xlsm]Inputs'!#REF!)=TRUE</xm:f>
            <x14:dxf>
              <font>
                <color theme="0" tint="-0.34998626667073579"/>
              </font>
            </x14:dxf>
          </x14:cfRule>
          <xm:sqref>M1:U1</xm:sqref>
        </x14:conditionalFormatting>
        <x14:conditionalFormatting xmlns:xm="http://schemas.microsoft.com/office/excel/2006/main">
          <x14:cfRule type="expression" priority="4" id="{E13FAED0-11ED-4F40-B674-767A49F18191}">
            <xm:f>ISERROR('\Richard\Google Drive\Docs - Work\ECA\Projects worked on\Kenya RES 386\Docs\Richard Work in Progress\[FiT Model v2.xlsm]Inputs'!#REF!)=TRUE</xm:f>
            <x14:dxf>
              <font>
                <color theme="0" tint="-0.34998626667073579"/>
              </font>
            </x14:dxf>
          </x14:cfRule>
          <xm:sqref>L1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vt:lpstr>
      <vt:lpstr>Inputs</vt:lpstr>
      <vt:lpstr>Calculations</vt:lpstr>
      <vt:lpstr>Tariffs</vt:lpstr>
      <vt:lpstr>Cash flow</vt:lpstr>
      <vt:lpstr>COVER!Title_Model</vt:lpstr>
      <vt:lpstr>COVER!Title_Project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Bramley</dc:creator>
  <cp:lastModifiedBy>Richard Bramley</cp:lastModifiedBy>
  <cp:lastPrinted>2013-10-03T10:49:05Z</cp:lastPrinted>
  <dcterms:created xsi:type="dcterms:W3CDTF">2013-04-24T13:55:27Z</dcterms:created>
  <dcterms:modified xsi:type="dcterms:W3CDTF">2014-04-11T08:36:49Z</dcterms:modified>
</cp:coreProperties>
</file>